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PTBA 2019\"/>
    </mc:Choice>
  </mc:AlternateContent>
  <bookViews>
    <workbookView minimized="1" xWindow="0" yWindow="0" windowWidth="23040" windowHeight="8808" activeTab="1"/>
  </bookViews>
  <sheets>
    <sheet name="PTBA 2019 C1" sheetId="1" r:id="rId1"/>
    <sheet name="PTBA 2019 C2" sheetId="2" r:id="rId2"/>
    <sheet name="PTBA 2019 C3" sheetId="3" r:id="rId3"/>
    <sheet name="BORDEREAU DES PRIX UNITAIRES" sheetId="9" r:id="rId4"/>
    <sheet name="REPARTITION PAR NATURE PIP" sheetId="16" r:id="rId5"/>
    <sheet name="Budget_Composante " sheetId="5" r:id="rId6"/>
    <sheet name="Budget-Categorie " sheetId="6" r:id="rId7"/>
    <sheet name="Budget-Categorie fonctionnemt" sheetId="7" r:id="rId8"/>
    <sheet name="Feuil1" sheetId="17" r:id="rId9"/>
  </sheets>
  <definedNames>
    <definedName name="_xlnm._FilterDatabase" localSheetId="0" hidden="1">'PTBA 2019 C1'!$H$4:$H$32</definedName>
    <definedName name="_xlnm._FilterDatabase" localSheetId="1" hidden="1">'PTBA 2019 C2'!$Z$3:$Z$55</definedName>
    <definedName name="_xlnm._FilterDatabase" localSheetId="2" hidden="1">'PTBA 2019 C3'!$Z$3:$Z$58</definedName>
    <definedName name="_xlnm.Print_Titles" localSheetId="0">'PTBA 2019 C1'!$3:$4</definedName>
    <definedName name="_xlnm.Print_Titles" localSheetId="1">'PTBA 2019 C2'!$3:$4</definedName>
    <definedName name="_xlnm.Print_Titles" localSheetId="2">'PTBA 2019 C3'!$3:$4</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4" i="2" l="1"/>
  <c r="S7" i="1" l="1"/>
  <c r="S11" i="2" l="1"/>
  <c r="S12" i="2"/>
  <c r="S13" i="2"/>
  <c r="S14" i="2"/>
  <c r="S15" i="2"/>
  <c r="S16" i="2"/>
  <c r="S17" i="2"/>
  <c r="S23" i="1"/>
  <c r="R17" i="2" l="1"/>
  <c r="H17" i="2"/>
  <c r="P17" i="2"/>
  <c r="J17" i="2"/>
  <c r="L17" i="2"/>
  <c r="N17" i="2"/>
  <c r="AB17" i="2" l="1"/>
  <c r="F356" i="9" l="1"/>
  <c r="S25" i="3" l="1"/>
  <c r="L47" i="3"/>
  <c r="H47" i="3"/>
  <c r="H56" i="3"/>
  <c r="F313" i="9" l="1"/>
  <c r="F312" i="9"/>
  <c r="F314" i="9" l="1"/>
  <c r="F34" i="3" s="1"/>
  <c r="S34" i="3" s="1"/>
  <c r="S32" i="3" s="1"/>
  <c r="F9" i="1"/>
  <c r="S9" i="1" s="1"/>
  <c r="R9" i="1" s="1"/>
  <c r="S21" i="2"/>
  <c r="N21" i="2" s="1"/>
  <c r="H21" i="2" l="1"/>
  <c r="P21" i="2"/>
  <c r="J21" i="2"/>
  <c r="L21" i="2"/>
  <c r="J9" i="1"/>
  <c r="N9" i="1"/>
  <c r="L9" i="1"/>
  <c r="H9" i="1"/>
  <c r="P9" i="1"/>
  <c r="L34" i="3"/>
  <c r="L32" i="3" s="1"/>
  <c r="N34" i="3"/>
  <c r="N32" i="3" s="1"/>
  <c r="R34" i="3"/>
  <c r="R32" i="3" s="1"/>
  <c r="J34" i="3"/>
  <c r="J32" i="3" s="1"/>
  <c r="P34" i="3"/>
  <c r="P32" i="3" s="1"/>
  <c r="H34" i="3"/>
  <c r="H32" i="3" s="1"/>
  <c r="S53" i="3"/>
  <c r="F46" i="3"/>
  <c r="C232" i="9"/>
  <c r="C231" i="9"/>
  <c r="C230" i="9"/>
  <c r="C229" i="9"/>
  <c r="C228" i="9"/>
  <c r="C227" i="9"/>
  <c r="C226" i="9"/>
  <c r="E9" i="3"/>
  <c r="R53" i="3" l="1"/>
  <c r="R51" i="3" s="1"/>
  <c r="J53" i="3"/>
  <c r="P53" i="3"/>
  <c r="H53" i="3"/>
  <c r="L53" i="3"/>
  <c r="N53" i="3"/>
  <c r="C234" i="9"/>
  <c r="F9" i="3" s="1"/>
  <c r="S9" i="3" s="1"/>
  <c r="J9" i="3" s="1"/>
  <c r="N9" i="3" l="1"/>
  <c r="H9" i="3"/>
  <c r="R9" i="3"/>
  <c r="L9" i="3"/>
  <c r="P9" i="3"/>
  <c r="F366" i="9"/>
  <c r="F365" i="9"/>
  <c r="F361" i="9"/>
  <c r="F359" i="9"/>
  <c r="F355" i="9"/>
  <c r="F357" i="9" s="1"/>
  <c r="F43" i="3" s="1"/>
  <c r="F362" i="9" l="1"/>
  <c r="F44" i="3" s="1"/>
  <c r="S44" i="3" s="1"/>
  <c r="P44" i="3" s="1"/>
  <c r="R44" i="3"/>
  <c r="F367" i="9"/>
  <c r="F45" i="3" s="1"/>
  <c r="S45" i="3" s="1"/>
  <c r="H45" i="3" s="1"/>
  <c r="J44" i="3" l="1"/>
  <c r="H44" i="3"/>
  <c r="N44" i="3"/>
  <c r="L44" i="3"/>
  <c r="F12" i="3"/>
  <c r="E206" i="9"/>
  <c r="F206" i="9" s="1"/>
  <c r="E207" i="9"/>
  <c r="F207" i="9" s="1"/>
  <c r="F208" i="9" l="1"/>
  <c r="F209" i="9" s="1"/>
  <c r="F52" i="2" s="1"/>
  <c r="N16" i="2"/>
  <c r="P16" i="2"/>
  <c r="L16" i="2"/>
  <c r="R16" i="2"/>
  <c r="J16" i="2"/>
  <c r="H16" i="2"/>
  <c r="AB16" i="2" l="1"/>
  <c r="F166" i="9"/>
  <c r="F165" i="9"/>
  <c r="F163" i="9"/>
  <c r="F162" i="9"/>
  <c r="F161" i="9"/>
  <c r="F160" i="9"/>
  <c r="F167" i="9" l="1"/>
  <c r="F34" i="2" s="1"/>
  <c r="E263" i="9"/>
  <c r="F263" i="9" l="1"/>
  <c r="C264" i="9"/>
  <c r="F264" i="9" s="1"/>
  <c r="F23" i="3"/>
  <c r="F146" i="9"/>
  <c r="E327" i="9"/>
  <c r="E121" i="9"/>
  <c r="D122" i="9"/>
  <c r="E122" i="9" s="1"/>
  <c r="E123" i="9"/>
  <c r="F143" i="9"/>
  <c r="F144" i="9"/>
  <c r="F145" i="9"/>
  <c r="F147" i="9"/>
  <c r="F148" i="9"/>
  <c r="F149" i="9"/>
  <c r="F150" i="9"/>
  <c r="F151" i="9"/>
  <c r="F152" i="9"/>
  <c r="F153" i="9"/>
  <c r="C63" i="9"/>
  <c r="F154" i="9" l="1"/>
  <c r="F33" i="2" s="1"/>
  <c r="E328" i="9"/>
  <c r="F40" i="3" s="1"/>
  <c r="E124" i="9"/>
  <c r="E63" i="9" l="1"/>
  <c r="C62" i="9"/>
  <c r="E62" i="9" s="1"/>
  <c r="F214" i="9"/>
  <c r="F215" i="9" s="1"/>
  <c r="F216" i="9" s="1"/>
  <c r="F213" i="9"/>
  <c r="R47" i="3"/>
  <c r="P47" i="3"/>
  <c r="N47" i="3"/>
  <c r="J47" i="3"/>
  <c r="R29" i="3"/>
  <c r="N19" i="3"/>
  <c r="L22" i="2"/>
  <c r="E64" i="9" l="1"/>
  <c r="E65" i="9" s="1"/>
  <c r="I6" i="2"/>
  <c r="S40" i="3"/>
  <c r="F54" i="2" l="1"/>
  <c r="F31" i="1"/>
  <c r="L40" i="3"/>
  <c r="R40" i="3"/>
  <c r="J40" i="3"/>
  <c r="P40" i="3"/>
  <c r="H40" i="3"/>
  <c r="N40" i="3"/>
  <c r="F28" i="1" l="1"/>
  <c r="C99" i="9"/>
  <c r="E99" i="9" s="1"/>
  <c r="F19" i="2" s="1"/>
  <c r="S19" i="2" s="1"/>
  <c r="E98" i="9"/>
  <c r="E97" i="9"/>
  <c r="E96" i="9"/>
  <c r="E95" i="9"/>
  <c r="C91" i="9"/>
  <c r="F18" i="2" s="1"/>
  <c r="N19" i="2" l="1"/>
  <c r="L19" i="2"/>
  <c r="H19" i="2"/>
  <c r="H9" i="2" s="1"/>
  <c r="R19" i="2"/>
  <c r="J19" i="2"/>
  <c r="J9" i="2" s="1"/>
  <c r="P19" i="2"/>
  <c r="AB19" i="2" l="1"/>
  <c r="F384" i="9" l="1"/>
  <c r="S27" i="3"/>
  <c r="J27" i="3" s="1"/>
  <c r="E283" i="9"/>
  <c r="E13" i="3"/>
  <c r="F13" i="3"/>
  <c r="C243" i="9"/>
  <c r="C242" i="9"/>
  <c r="C241" i="9"/>
  <c r="C249" i="9"/>
  <c r="C240" i="9"/>
  <c r="C239" i="9"/>
  <c r="C248" i="9"/>
  <c r="C238" i="9"/>
  <c r="C237" i="9"/>
  <c r="C244" i="9"/>
  <c r="C221" i="9"/>
  <c r="C220" i="9"/>
  <c r="C251" i="9" l="1"/>
  <c r="F11" i="3" s="1"/>
  <c r="S11" i="3" s="1"/>
  <c r="L11" i="3" s="1"/>
  <c r="C222" i="9"/>
  <c r="F8" i="3" s="1"/>
  <c r="C245" i="9"/>
  <c r="F10" i="3" s="1"/>
  <c r="S10" i="3" s="1"/>
  <c r="L10" i="3" s="1"/>
  <c r="S13" i="3"/>
  <c r="L13" i="3" s="1"/>
  <c r="R27" i="3"/>
  <c r="P27" i="3"/>
  <c r="N27" i="3"/>
  <c r="H27" i="3"/>
  <c r="L27" i="3"/>
  <c r="R54" i="2"/>
  <c r="P54" i="2"/>
  <c r="J54" i="2"/>
  <c r="N54" i="2"/>
  <c r="L54" i="2"/>
  <c r="F53" i="2"/>
  <c r="C181" i="9"/>
  <c r="F40" i="2" s="1"/>
  <c r="H11" i="3" l="1"/>
  <c r="P11" i="3"/>
  <c r="N11" i="3"/>
  <c r="J11" i="3"/>
  <c r="R11" i="3"/>
  <c r="J13" i="3"/>
  <c r="N10" i="3"/>
  <c r="R10" i="3"/>
  <c r="P10" i="3"/>
  <c r="J10" i="3"/>
  <c r="H10" i="3"/>
  <c r="R13" i="3"/>
  <c r="N13" i="3"/>
  <c r="P13" i="3"/>
  <c r="H13" i="3"/>
  <c r="S37" i="2"/>
  <c r="N37" i="2" l="1"/>
  <c r="R37" i="2"/>
  <c r="R35" i="2" s="1"/>
  <c r="J37" i="2"/>
  <c r="P37" i="2"/>
  <c r="H37" i="2"/>
  <c r="L37" i="2"/>
  <c r="AB37" i="2" l="1"/>
  <c r="AC37" i="2" s="1"/>
  <c r="S28" i="2"/>
  <c r="H28" i="2" s="1"/>
  <c r="S36" i="2"/>
  <c r="L36" i="2" s="1"/>
  <c r="S33" i="2"/>
  <c r="N33" i="2" s="1"/>
  <c r="S24" i="1"/>
  <c r="H24" i="1" s="1"/>
  <c r="S25" i="1"/>
  <c r="H25" i="1" s="1"/>
  <c r="N28" i="2" l="1"/>
  <c r="L28" i="2"/>
  <c r="R28" i="2"/>
  <c r="J28" i="2"/>
  <c r="P28" i="2"/>
  <c r="H36" i="2"/>
  <c r="H35" i="2" s="1"/>
  <c r="N36" i="2"/>
  <c r="L33" i="2"/>
  <c r="H33" i="2"/>
  <c r="P33" i="2"/>
  <c r="J33" i="2"/>
  <c r="N24" i="1"/>
  <c r="N25" i="1"/>
  <c r="L25" i="1"/>
  <c r="L24" i="1"/>
  <c r="R25" i="1"/>
  <c r="J25" i="1"/>
  <c r="R24" i="1"/>
  <c r="J24" i="1"/>
  <c r="P25" i="1"/>
  <c r="P24" i="1"/>
  <c r="AB28" i="2" l="1"/>
  <c r="AB24" i="1"/>
  <c r="AB25" i="1"/>
  <c r="R15" i="2" l="1"/>
  <c r="L12" i="2"/>
  <c r="F11" i="9"/>
  <c r="F18" i="1" s="1"/>
  <c r="N15" i="2" l="1"/>
  <c r="P15" i="2"/>
  <c r="L15" i="2"/>
  <c r="P13" i="2"/>
  <c r="N13" i="2"/>
  <c r="L13" i="2"/>
  <c r="P12" i="2"/>
  <c r="N12" i="2"/>
  <c r="AB13" i="2" l="1"/>
  <c r="AB15" i="2"/>
  <c r="AB12" i="2"/>
  <c r="F190" i="9" l="1"/>
  <c r="F193" i="9"/>
  <c r="F192" i="9"/>
  <c r="F189" i="9"/>
  <c r="F188" i="9"/>
  <c r="F194" i="9" l="1"/>
  <c r="F43" i="2" l="1"/>
  <c r="S43" i="2" s="1"/>
  <c r="H43" i="2" l="1"/>
  <c r="R43" i="2"/>
  <c r="N43" i="2"/>
  <c r="P43" i="2"/>
  <c r="C274" i="9"/>
  <c r="F274" i="9" s="1"/>
  <c r="F275" i="9"/>
  <c r="F276" i="9" l="1"/>
  <c r="F17" i="3" s="1"/>
  <c r="S17" i="3" l="1"/>
  <c r="L17" i="3" l="1"/>
  <c r="H17" i="3"/>
  <c r="R17" i="3"/>
  <c r="J17" i="3"/>
  <c r="N17" i="3"/>
  <c r="N15" i="3" s="1"/>
  <c r="P17" i="3"/>
  <c r="S52" i="2"/>
  <c r="N52" i="2" l="1"/>
  <c r="P52" i="2"/>
  <c r="H52" i="2"/>
  <c r="L52" i="2"/>
  <c r="R52" i="2"/>
  <c r="E6" i="9" l="1"/>
  <c r="E5" i="9"/>
  <c r="S41" i="2" l="1"/>
  <c r="L41" i="2" l="1"/>
  <c r="L39" i="2" s="1"/>
  <c r="J41" i="2"/>
  <c r="N41" i="2"/>
  <c r="R41" i="2"/>
  <c r="H41" i="2"/>
  <c r="P41" i="2"/>
  <c r="AB41" i="2" l="1"/>
  <c r="C105" i="9" l="1"/>
  <c r="F20" i="2" s="1"/>
  <c r="S20" i="2" s="1"/>
  <c r="I103" i="9"/>
  <c r="I86" i="9"/>
  <c r="N20" i="2" l="1"/>
  <c r="R20" i="2"/>
  <c r="L20" i="2"/>
  <c r="P20" i="2"/>
  <c r="AB20" i="2" l="1"/>
  <c r="S18" i="3" l="1"/>
  <c r="P18" i="3" s="1"/>
  <c r="R18" i="3" l="1"/>
  <c r="H18" i="3"/>
  <c r="L18" i="3"/>
  <c r="N18" i="3"/>
  <c r="C307" i="9"/>
  <c r="F30" i="3" s="1"/>
  <c r="F256" i="9" l="1"/>
  <c r="F257" i="9" s="1"/>
  <c r="F391" i="9" l="1"/>
  <c r="F14" i="3"/>
  <c r="F378" i="9"/>
  <c r="F377" i="9"/>
  <c r="F382" i="9"/>
  <c r="F381" i="9"/>
  <c r="F380" i="9"/>
  <c r="F349" i="9"/>
  <c r="F348" i="9"/>
  <c r="F347" i="9"/>
  <c r="F262" i="9"/>
  <c r="F265" i="9" s="1"/>
  <c r="F16" i="3" s="1"/>
  <c r="E269" i="9"/>
  <c r="E270" i="9" s="1"/>
  <c r="E282" i="9"/>
  <c r="E281" i="9"/>
  <c r="F385" i="9" l="1"/>
  <c r="F50" i="3" s="1"/>
  <c r="F351" i="9"/>
  <c r="F36" i="3" s="1"/>
  <c r="E284" i="9"/>
  <c r="F402" i="9"/>
  <c r="F54" i="3" s="1"/>
  <c r="F394" i="9"/>
  <c r="F200" i="9" l="1"/>
  <c r="F202" i="9" s="1"/>
  <c r="F46" i="2" s="1"/>
  <c r="F114" i="9" l="1"/>
  <c r="F115" i="9" s="1"/>
  <c r="F26" i="2" s="1"/>
  <c r="F27" i="2"/>
  <c r="I22" i="1" l="1"/>
  <c r="S30" i="3"/>
  <c r="S29" i="3" s="1"/>
  <c r="S54" i="3"/>
  <c r="S51" i="3" s="1"/>
  <c r="F136" i="9"/>
  <c r="F134" i="9"/>
  <c r="F133" i="9"/>
  <c r="F131" i="9"/>
  <c r="J30" i="3" l="1"/>
  <c r="J29" i="3" s="1"/>
  <c r="L30" i="3"/>
  <c r="L29" i="3" s="1"/>
  <c r="P30" i="3"/>
  <c r="P29" i="3" s="1"/>
  <c r="H30" i="3"/>
  <c r="H29" i="3" s="1"/>
  <c r="N30" i="3"/>
  <c r="N29" i="3" s="1"/>
  <c r="N54" i="3"/>
  <c r="N51" i="3" s="1"/>
  <c r="J54" i="3"/>
  <c r="J51" i="3" s="1"/>
  <c r="H54" i="3"/>
  <c r="H51" i="3" s="1"/>
  <c r="L54" i="3"/>
  <c r="L51" i="3" s="1"/>
  <c r="P54" i="3"/>
  <c r="P51" i="3" s="1"/>
  <c r="C341" i="9" l="1"/>
  <c r="F21" i="3" s="1"/>
  <c r="S21" i="3" s="1"/>
  <c r="L21" i="3" l="1"/>
  <c r="J21" i="3"/>
  <c r="H21" i="3"/>
  <c r="F293" i="9" l="1"/>
  <c r="F294" i="9"/>
  <c r="F291" i="9"/>
  <c r="F24" i="3"/>
  <c r="F295" i="9" l="1"/>
  <c r="F20" i="3" s="1"/>
  <c r="C82" i="9" l="1"/>
  <c r="F10" i="2" s="1"/>
  <c r="E50" i="9" l="1"/>
  <c r="E51" i="9"/>
  <c r="E52" i="9"/>
  <c r="E53" i="9"/>
  <c r="E54" i="9"/>
  <c r="E55" i="9"/>
  <c r="E56" i="9"/>
  <c r="E49" i="9"/>
  <c r="C57" i="9"/>
  <c r="E57" i="9" s="1"/>
  <c r="F21" i="1" s="1"/>
  <c r="C43" i="9"/>
  <c r="F20" i="1" s="1"/>
  <c r="C27" i="9"/>
  <c r="F19" i="1" s="1"/>
  <c r="F71" i="9" l="1"/>
  <c r="F73" i="9" s="1"/>
  <c r="F137" i="9" l="1"/>
  <c r="F8" i="2"/>
  <c r="F138" i="9" l="1"/>
  <c r="I32" i="1" l="1"/>
  <c r="K32" i="1"/>
  <c r="M32" i="1"/>
  <c r="O32" i="1"/>
  <c r="Q32" i="1"/>
  <c r="F321" i="9" l="1"/>
  <c r="F332" i="9"/>
  <c r="F334" i="9" s="1"/>
  <c r="S31" i="2" l="1"/>
  <c r="H7" i="2" l="1"/>
  <c r="J7" i="2"/>
  <c r="N7" i="2"/>
  <c r="S50" i="2" l="1"/>
  <c r="S44" i="2"/>
  <c r="S31" i="3" l="1"/>
  <c r="S26" i="2"/>
  <c r="S48" i="3"/>
  <c r="S47" i="3" s="1"/>
  <c r="S20" i="3"/>
  <c r="S19" i="3" s="1"/>
  <c r="S12" i="3"/>
  <c r="S10" i="1"/>
  <c r="H10" i="1" s="1"/>
  <c r="H48" i="3" l="1"/>
  <c r="H31" i="3"/>
  <c r="H26" i="2"/>
  <c r="J20" i="3"/>
  <c r="R20" i="3"/>
  <c r="R19" i="3" s="1"/>
  <c r="H20" i="3"/>
  <c r="H19" i="3" s="1"/>
  <c r="P20" i="3"/>
  <c r="P19" i="3" s="1"/>
  <c r="L20" i="3"/>
  <c r="L19" i="3" s="1"/>
  <c r="L12" i="3"/>
  <c r="R12" i="3"/>
  <c r="J12" i="3"/>
  <c r="P12" i="3"/>
  <c r="H12" i="3"/>
  <c r="N12" i="3"/>
  <c r="S38" i="2"/>
  <c r="N14" i="2"/>
  <c r="S18" i="2"/>
  <c r="S12" i="1"/>
  <c r="H12" i="1" s="1"/>
  <c r="H11" i="1" s="1"/>
  <c r="N11" i="2"/>
  <c r="S10" i="2"/>
  <c r="S9" i="2" s="1"/>
  <c r="N18" i="2" l="1"/>
  <c r="R18" i="2"/>
  <c r="J38" i="2"/>
  <c r="N38" i="2"/>
  <c r="N35" i="2" s="1"/>
  <c r="AB26" i="2"/>
  <c r="P10" i="2"/>
  <c r="P11" i="2"/>
  <c r="P14" i="2"/>
  <c r="L14" i="2"/>
  <c r="R14" i="2"/>
  <c r="P18" i="2"/>
  <c r="L18" i="2"/>
  <c r="L11" i="2"/>
  <c r="N10" i="2"/>
  <c r="N9" i="2" s="1"/>
  <c r="L10" i="2"/>
  <c r="R9" i="2" l="1"/>
  <c r="L9" i="2"/>
  <c r="P9" i="2"/>
  <c r="AB38" i="2"/>
  <c r="AB11" i="2"/>
  <c r="AB18" i="2"/>
  <c r="AB10" i="2"/>
  <c r="AB14" i="2"/>
  <c r="S46" i="3" l="1"/>
  <c r="H46" i="3" l="1"/>
  <c r="E7" i="9" l="1"/>
  <c r="F15" i="1" s="1"/>
  <c r="F322" i="9"/>
  <c r="F41" i="3"/>
  <c r="S41" i="3" s="1"/>
  <c r="S55" i="3"/>
  <c r="F39" i="3" l="1"/>
  <c r="S39" i="3" s="1"/>
  <c r="S38" i="3" s="1"/>
  <c r="P41" i="3"/>
  <c r="L41" i="3"/>
  <c r="N41" i="3"/>
  <c r="R41" i="3"/>
  <c r="H41" i="3"/>
  <c r="J41" i="3"/>
  <c r="P55" i="3"/>
  <c r="H55" i="3"/>
  <c r="J55" i="3"/>
  <c r="L55" i="3"/>
  <c r="N55" i="3"/>
  <c r="H39" i="3" l="1"/>
  <c r="H38" i="3" s="1"/>
  <c r="N39" i="3"/>
  <c r="N38" i="3" s="1"/>
  <c r="P39" i="3"/>
  <c r="P38" i="3" s="1"/>
  <c r="J39" i="3"/>
  <c r="J38" i="3" s="1"/>
  <c r="R39" i="3"/>
  <c r="R38" i="3" s="1"/>
  <c r="L39" i="3"/>
  <c r="L38" i="3" s="1"/>
  <c r="N44" i="2"/>
  <c r="L44" i="2"/>
  <c r="J44" i="2"/>
  <c r="H44" i="2"/>
  <c r="H42" i="2" s="1"/>
  <c r="AB44" i="2" l="1"/>
  <c r="S18" i="1"/>
  <c r="H18" i="1" l="1"/>
  <c r="J18" i="1"/>
  <c r="P18" i="1"/>
  <c r="N18" i="1"/>
  <c r="L18" i="1"/>
  <c r="L50" i="2" l="1"/>
  <c r="L49" i="2" s="1"/>
  <c r="H50" i="2"/>
  <c r="H49" i="2" s="1"/>
  <c r="S8" i="2"/>
  <c r="S47" i="2"/>
  <c r="S34" i="2"/>
  <c r="S40" i="2"/>
  <c r="S39" i="2" s="1"/>
  <c r="S23" i="2"/>
  <c r="S22" i="2" s="1"/>
  <c r="R56" i="3"/>
  <c r="P56" i="3"/>
  <c r="N56" i="3"/>
  <c r="J56" i="3"/>
  <c r="C7" i="5" s="1"/>
  <c r="S57" i="3"/>
  <c r="S56" i="3" s="1"/>
  <c r="O49" i="3"/>
  <c r="S46" i="2"/>
  <c r="S53" i="2"/>
  <c r="S51" i="2" s="1"/>
  <c r="S30" i="2"/>
  <c r="S29" i="2" s="1"/>
  <c r="S27" i="2"/>
  <c r="J30" i="1"/>
  <c r="L30" i="1"/>
  <c r="N30" i="1"/>
  <c r="P30" i="1"/>
  <c r="R30" i="1"/>
  <c r="S31" i="1"/>
  <c r="S30" i="1" s="1"/>
  <c r="S21" i="1"/>
  <c r="S20" i="1"/>
  <c r="S29" i="1"/>
  <c r="L29" i="1" s="1"/>
  <c r="S28" i="1"/>
  <c r="S15" i="1"/>
  <c r="S14" i="3"/>
  <c r="S33" i="3"/>
  <c r="S43" i="3"/>
  <c r="S42" i="3" s="1"/>
  <c r="S52" i="3"/>
  <c r="F37" i="3"/>
  <c r="S37" i="3" s="1"/>
  <c r="S36" i="3"/>
  <c r="S26" i="3"/>
  <c r="E8" i="3"/>
  <c r="S14" i="1"/>
  <c r="S8" i="1"/>
  <c r="H8" i="1" s="1"/>
  <c r="H7" i="1" s="1"/>
  <c r="D5" i="1"/>
  <c r="S19" i="1"/>
  <c r="S50" i="3"/>
  <c r="S24" i="3"/>
  <c r="S16" i="3"/>
  <c r="S15" i="3" s="1"/>
  <c r="S23" i="3"/>
  <c r="S35" i="3" l="1"/>
  <c r="S22" i="3"/>
  <c r="S45" i="2"/>
  <c r="S32" i="2"/>
  <c r="H34" i="2"/>
  <c r="H32" i="2" s="1"/>
  <c r="S17" i="1"/>
  <c r="S49" i="3"/>
  <c r="S25" i="2"/>
  <c r="S35" i="2"/>
  <c r="S42" i="2"/>
  <c r="S11" i="1"/>
  <c r="H15" i="1"/>
  <c r="S13" i="1"/>
  <c r="R21" i="1"/>
  <c r="H21" i="1"/>
  <c r="L20" i="1"/>
  <c r="H20" i="1"/>
  <c r="J23" i="3"/>
  <c r="L43" i="3"/>
  <c r="P16" i="3"/>
  <c r="P15" i="3" s="1"/>
  <c r="L26" i="3"/>
  <c r="R24" i="3"/>
  <c r="N50" i="3"/>
  <c r="L46" i="2"/>
  <c r="L45" i="2" s="1"/>
  <c r="J49" i="2"/>
  <c r="P27" i="2"/>
  <c r="P53" i="2"/>
  <c r="P51" i="2" s="1"/>
  <c r="N31" i="2"/>
  <c r="R8" i="2"/>
  <c r="L8" i="2"/>
  <c r="L34" i="2"/>
  <c r="L32" i="2" s="1"/>
  <c r="R47" i="2"/>
  <c r="J40" i="2"/>
  <c r="J39" i="2" s="1"/>
  <c r="AB50" i="2"/>
  <c r="H19" i="1"/>
  <c r="N14" i="1"/>
  <c r="H14" i="1"/>
  <c r="R23" i="1"/>
  <c r="S22" i="1"/>
  <c r="P29" i="1"/>
  <c r="R20" i="1"/>
  <c r="R14" i="1"/>
  <c r="R13" i="1" s="1"/>
  <c r="J21" i="1"/>
  <c r="L19" i="1"/>
  <c r="L23" i="1"/>
  <c r="L22" i="1" s="1"/>
  <c r="S8" i="3"/>
  <c r="L36" i="3"/>
  <c r="N36" i="3"/>
  <c r="N35" i="3" s="1"/>
  <c r="H36" i="3"/>
  <c r="R43" i="3"/>
  <c r="R42" i="3" s="1"/>
  <c r="H23" i="3"/>
  <c r="J16" i="3"/>
  <c r="H37" i="3"/>
  <c r="J37" i="3"/>
  <c r="P26" i="3"/>
  <c r="R52" i="3"/>
  <c r="R36" i="3"/>
  <c r="R35" i="3" s="1"/>
  <c r="H33" i="3"/>
  <c r="H14" i="3"/>
  <c r="L14" i="3"/>
  <c r="R50" i="3"/>
  <c r="P50" i="3"/>
  <c r="L50" i="3"/>
  <c r="J36" i="3"/>
  <c r="P36" i="3"/>
  <c r="P35" i="3" s="1"/>
  <c r="H43" i="3"/>
  <c r="H42" i="3" s="1"/>
  <c r="J50" i="3"/>
  <c r="J49" i="3" s="1"/>
  <c r="N26" i="3"/>
  <c r="N25" i="3" s="1"/>
  <c r="J43" i="3"/>
  <c r="J42" i="3" s="1"/>
  <c r="N43" i="3"/>
  <c r="N42" i="3" s="1"/>
  <c r="H50" i="3"/>
  <c r="H49" i="3" s="1"/>
  <c r="N23" i="3"/>
  <c r="P43" i="3"/>
  <c r="P42" i="3" s="1"/>
  <c r="H30" i="2"/>
  <c r="N30" i="2"/>
  <c r="R49" i="2"/>
  <c r="N25" i="2"/>
  <c r="P49" i="2"/>
  <c r="P8" i="2"/>
  <c r="R34" i="2"/>
  <c r="R32" i="2" s="1"/>
  <c r="L30" i="2"/>
  <c r="H31" i="2"/>
  <c r="L31" i="2"/>
  <c r="N46" i="2"/>
  <c r="R27" i="2"/>
  <c r="R25" i="2" s="1"/>
  <c r="H27" i="2"/>
  <c r="H25" i="2" s="1"/>
  <c r="S49" i="2"/>
  <c r="S7" i="2"/>
  <c r="P34" i="2"/>
  <c r="P32" i="2" s="1"/>
  <c r="J53" i="2"/>
  <c r="J51" i="2" s="1"/>
  <c r="L53" i="2"/>
  <c r="L51" i="2" s="1"/>
  <c r="R53" i="2"/>
  <c r="R51" i="2" s="1"/>
  <c r="H53" i="2"/>
  <c r="N53" i="2"/>
  <c r="N51" i="2" s="1"/>
  <c r="H46" i="2"/>
  <c r="H45" i="2" s="1"/>
  <c r="J46" i="2"/>
  <c r="H23" i="2"/>
  <c r="N23" i="2"/>
  <c r="J23" i="2"/>
  <c r="P23" i="2"/>
  <c r="P46" i="2"/>
  <c r="R46" i="2"/>
  <c r="R45" i="2" s="1"/>
  <c r="R23" i="2"/>
  <c r="R40" i="2"/>
  <c r="R39" i="2" s="1"/>
  <c r="N40" i="2"/>
  <c r="N39" i="2" s="1"/>
  <c r="H40" i="2"/>
  <c r="H39" i="2" s="1"/>
  <c r="P40" i="2"/>
  <c r="P39" i="2" s="1"/>
  <c r="P30" i="2"/>
  <c r="N49" i="2"/>
  <c r="L27" i="2"/>
  <c r="L25" i="2" s="1"/>
  <c r="J27" i="2"/>
  <c r="N34" i="2"/>
  <c r="N32" i="2" s="1"/>
  <c r="J34" i="2"/>
  <c r="J32" i="2" s="1"/>
  <c r="N47" i="2"/>
  <c r="P31" i="2"/>
  <c r="J20" i="1"/>
  <c r="P20" i="1"/>
  <c r="R29" i="1"/>
  <c r="J23" i="1"/>
  <c r="H29" i="1"/>
  <c r="N20" i="1"/>
  <c r="J14" i="1"/>
  <c r="J24" i="3"/>
  <c r="L24" i="3"/>
  <c r="P23" i="3"/>
  <c r="L23" i="3"/>
  <c r="H24" i="3"/>
  <c r="H52" i="3"/>
  <c r="L52" i="3"/>
  <c r="N52" i="3"/>
  <c r="J52" i="3"/>
  <c r="R23" i="3"/>
  <c r="P24" i="3"/>
  <c r="N24" i="3"/>
  <c r="P52" i="3"/>
  <c r="R16" i="3"/>
  <c r="R15" i="3" s="1"/>
  <c r="L57" i="3"/>
  <c r="L56" i="3" s="1"/>
  <c r="H57" i="3"/>
  <c r="H16" i="3"/>
  <c r="H15" i="3" s="1"/>
  <c r="J26" i="3"/>
  <c r="J25" i="3" s="1"/>
  <c r="R26" i="3"/>
  <c r="L16" i="3"/>
  <c r="L15" i="3" s="1"/>
  <c r="H26" i="3"/>
  <c r="H25" i="3" s="1"/>
  <c r="P28" i="1"/>
  <c r="S27" i="1"/>
  <c r="N28" i="1"/>
  <c r="R28" i="1"/>
  <c r="J28" i="1"/>
  <c r="L21" i="1"/>
  <c r="L14" i="1"/>
  <c r="J29" i="1"/>
  <c r="H31" i="1"/>
  <c r="H30" i="1" s="1"/>
  <c r="P23" i="1"/>
  <c r="H23" i="1"/>
  <c r="H22" i="1" s="1"/>
  <c r="N23" i="1"/>
  <c r="R19" i="1"/>
  <c r="N19" i="1"/>
  <c r="J19" i="1"/>
  <c r="P19" i="1"/>
  <c r="P8" i="1"/>
  <c r="R8" i="1"/>
  <c r="L8" i="1"/>
  <c r="L7" i="1" s="1"/>
  <c r="N8" i="1"/>
  <c r="J8" i="1"/>
  <c r="L15" i="1"/>
  <c r="N21" i="1"/>
  <c r="N29" i="1"/>
  <c r="P21" i="1"/>
  <c r="P14" i="1"/>
  <c r="H28" i="1"/>
  <c r="H27" i="1" s="1"/>
  <c r="L28" i="1"/>
  <c r="L27" i="1" s="1"/>
  <c r="L26" i="1" s="1"/>
  <c r="L29" i="2" l="1"/>
  <c r="J35" i="3"/>
  <c r="P22" i="3"/>
  <c r="H13" i="1"/>
  <c r="H6" i="1" s="1"/>
  <c r="N45" i="2"/>
  <c r="H35" i="3"/>
  <c r="R22" i="3"/>
  <c r="R17" i="1"/>
  <c r="L22" i="3"/>
  <c r="AB39" i="2"/>
  <c r="AC39" i="2" s="1"/>
  <c r="H22" i="3"/>
  <c r="H17" i="1"/>
  <c r="N17" i="1"/>
  <c r="P17" i="1"/>
  <c r="L17" i="1"/>
  <c r="AB32" i="2"/>
  <c r="S6" i="2"/>
  <c r="S6" i="1"/>
  <c r="P22" i="2"/>
  <c r="H22" i="2"/>
  <c r="J22" i="2"/>
  <c r="N22" i="2"/>
  <c r="N6" i="2" s="1"/>
  <c r="R22" i="2"/>
  <c r="J19" i="3"/>
  <c r="S28" i="3"/>
  <c r="L35" i="3"/>
  <c r="S48" i="2"/>
  <c r="C9" i="16"/>
  <c r="L42" i="2"/>
  <c r="P13" i="1"/>
  <c r="C6" i="6"/>
  <c r="C7" i="7" s="1"/>
  <c r="L13" i="1"/>
  <c r="J45" i="2"/>
  <c r="S7" i="3"/>
  <c r="N49" i="3"/>
  <c r="J22" i="3"/>
  <c r="L42" i="3"/>
  <c r="E6" i="6"/>
  <c r="E7" i="7" s="1"/>
  <c r="H29" i="2"/>
  <c r="H24" i="2" s="1"/>
  <c r="C4" i="6"/>
  <c r="AB8" i="2"/>
  <c r="C5" i="6"/>
  <c r="P45" i="2"/>
  <c r="E4" i="6"/>
  <c r="AB31" i="2"/>
  <c r="J42" i="2"/>
  <c r="AB34" i="2"/>
  <c r="AC34" i="2" s="1"/>
  <c r="P27" i="1"/>
  <c r="P26" i="1" s="1"/>
  <c r="N13" i="1"/>
  <c r="N22" i="1"/>
  <c r="J15" i="3"/>
  <c r="P8" i="3"/>
  <c r="AB30" i="2"/>
  <c r="R42" i="2"/>
  <c r="J29" i="2"/>
  <c r="AB27" i="2"/>
  <c r="AB23" i="2"/>
  <c r="AB47" i="2"/>
  <c r="AB46" i="2"/>
  <c r="AC46" i="2" s="1"/>
  <c r="R7" i="2"/>
  <c r="N42" i="2"/>
  <c r="P35" i="2"/>
  <c r="AB40" i="2"/>
  <c r="R29" i="2"/>
  <c r="L35" i="2"/>
  <c r="J35" i="2"/>
  <c r="N29" i="2"/>
  <c r="P29" i="2"/>
  <c r="P42" i="2"/>
  <c r="R48" i="2"/>
  <c r="P7" i="2"/>
  <c r="L7" i="2"/>
  <c r="L6" i="2" s="1"/>
  <c r="AB53" i="2"/>
  <c r="AC53" i="2" s="1"/>
  <c r="R7" i="1"/>
  <c r="P7" i="1"/>
  <c r="P22" i="1"/>
  <c r="J13" i="1"/>
  <c r="R22" i="1"/>
  <c r="J7" i="1"/>
  <c r="N7" i="1"/>
  <c r="J22" i="1"/>
  <c r="N8" i="3"/>
  <c r="AB20" i="1"/>
  <c r="R8" i="3"/>
  <c r="L8" i="3"/>
  <c r="L7" i="3" s="1"/>
  <c r="J8" i="3"/>
  <c r="H8" i="3"/>
  <c r="H7" i="3" s="1"/>
  <c r="N22" i="3"/>
  <c r="L49" i="3"/>
  <c r="P49" i="3"/>
  <c r="R49" i="3"/>
  <c r="C7" i="6"/>
  <c r="S24" i="2"/>
  <c r="H5" i="6"/>
  <c r="H6" i="7" s="1"/>
  <c r="P25" i="2"/>
  <c r="J25" i="2"/>
  <c r="E7" i="6"/>
  <c r="D7" i="6"/>
  <c r="D8" i="7" s="1"/>
  <c r="H54" i="2"/>
  <c r="AB54" i="2" s="1"/>
  <c r="J27" i="1"/>
  <c r="J26" i="1" s="1"/>
  <c r="R27" i="1"/>
  <c r="R26" i="1" s="1"/>
  <c r="L11" i="1"/>
  <c r="S26" i="1"/>
  <c r="N27" i="1"/>
  <c r="N26" i="1" s="1"/>
  <c r="S16" i="1"/>
  <c r="F6" i="6"/>
  <c r="F7" i="7" s="1"/>
  <c r="AB19" i="1"/>
  <c r="D6" i="6"/>
  <c r="D7" i="7" s="1"/>
  <c r="R11" i="1"/>
  <c r="J17" i="1"/>
  <c r="F4" i="6"/>
  <c r="F5" i="7" s="1"/>
  <c r="AB8" i="1"/>
  <c r="P11" i="1"/>
  <c r="G6" i="6"/>
  <c r="G7" i="7" s="1"/>
  <c r="AB23" i="1"/>
  <c r="AB21" i="1"/>
  <c r="AB18" i="1"/>
  <c r="D4" i="6"/>
  <c r="AB29" i="1"/>
  <c r="AB15" i="1"/>
  <c r="AB14" i="1"/>
  <c r="J11" i="1"/>
  <c r="N11" i="1"/>
  <c r="AB30" i="1"/>
  <c r="AB28" i="1"/>
  <c r="H6" i="6"/>
  <c r="H7" i="7" s="1"/>
  <c r="AB31" i="1"/>
  <c r="F5" i="6"/>
  <c r="H4" i="6"/>
  <c r="G4" i="6"/>
  <c r="G5" i="7" s="1"/>
  <c r="H51" i="2" l="1"/>
  <c r="H48" i="2" s="1"/>
  <c r="H6" i="2"/>
  <c r="AB25" i="2"/>
  <c r="J6" i="1"/>
  <c r="R6" i="1"/>
  <c r="P6" i="2"/>
  <c r="L6" i="1"/>
  <c r="P6" i="1"/>
  <c r="N6" i="1"/>
  <c r="R6" i="2"/>
  <c r="J6" i="2"/>
  <c r="L25" i="3"/>
  <c r="N48" i="2"/>
  <c r="P48" i="2"/>
  <c r="L48" i="2"/>
  <c r="C5" i="7"/>
  <c r="I4" i="6"/>
  <c r="AB49" i="2"/>
  <c r="AC49" i="2" s="1"/>
  <c r="H7" i="6"/>
  <c r="H8" i="7" s="1"/>
  <c r="S55" i="2"/>
  <c r="D5" i="7"/>
  <c r="S32" i="1"/>
  <c r="E8" i="6"/>
  <c r="E11" i="7" s="1"/>
  <c r="E12" i="7" s="1"/>
  <c r="P28" i="3"/>
  <c r="E5" i="6"/>
  <c r="E6" i="7" s="1"/>
  <c r="C8" i="6"/>
  <c r="C9" i="6" s="1"/>
  <c r="C8" i="7"/>
  <c r="AB22" i="2"/>
  <c r="AB29" i="2"/>
  <c r="E8" i="7"/>
  <c r="AB9" i="2"/>
  <c r="AB45" i="2"/>
  <c r="AC45" i="2" s="1"/>
  <c r="H26" i="1"/>
  <c r="AB26" i="1" s="1"/>
  <c r="J28" i="3"/>
  <c r="H28" i="3"/>
  <c r="P25" i="3"/>
  <c r="N7" i="3"/>
  <c r="R25" i="3"/>
  <c r="R28" i="3"/>
  <c r="P7" i="3"/>
  <c r="R7" i="3"/>
  <c r="N28" i="3"/>
  <c r="J7" i="3"/>
  <c r="AB42" i="2"/>
  <c r="AC42" i="2" s="1"/>
  <c r="AB35" i="2"/>
  <c r="AC35" i="2" s="1"/>
  <c r="AB7" i="2"/>
  <c r="J48" i="2"/>
  <c r="AB7" i="1"/>
  <c r="L28" i="3"/>
  <c r="S6" i="3"/>
  <c r="S58" i="3" s="1"/>
  <c r="P24" i="2"/>
  <c r="J24" i="2"/>
  <c r="L24" i="2"/>
  <c r="L16" i="1"/>
  <c r="H16" i="1"/>
  <c r="C6" i="7"/>
  <c r="F8" i="6"/>
  <c r="F11" i="7" s="1"/>
  <c r="F12" i="7" s="1"/>
  <c r="D8" i="6"/>
  <c r="D11" i="7" s="1"/>
  <c r="D12" i="7" s="1"/>
  <c r="G8" i="6"/>
  <c r="G11" i="7" s="1"/>
  <c r="G12" i="7" s="1"/>
  <c r="H8" i="6"/>
  <c r="H11" i="7" s="1"/>
  <c r="H12" i="7" s="1"/>
  <c r="G5" i="6"/>
  <c r="G6" i="7" s="1"/>
  <c r="D5" i="6"/>
  <c r="D6" i="7" s="1"/>
  <c r="G7" i="6"/>
  <c r="G8" i="7" s="1"/>
  <c r="F7" i="6"/>
  <c r="F8" i="7" s="1"/>
  <c r="N24" i="2"/>
  <c r="AB27" i="1"/>
  <c r="AB11" i="1"/>
  <c r="J16" i="1"/>
  <c r="N16" i="1"/>
  <c r="AB13" i="1"/>
  <c r="P16" i="1"/>
  <c r="R16" i="1"/>
  <c r="AB17" i="1"/>
  <c r="I6" i="6"/>
  <c r="I7" i="7"/>
  <c r="F6" i="7"/>
  <c r="H5" i="7"/>
  <c r="E5" i="7"/>
  <c r="AB22" i="1"/>
  <c r="H6" i="3" l="1"/>
  <c r="H58" i="3" s="1"/>
  <c r="B7" i="5" s="1"/>
  <c r="R32" i="1"/>
  <c r="G5" i="5" s="1"/>
  <c r="D9" i="7"/>
  <c r="D13" i="7" s="1"/>
  <c r="F11" i="16" a="1"/>
  <c r="F11" i="16" s="1"/>
  <c r="H9" i="7"/>
  <c r="H13" i="7" s="1"/>
  <c r="G11" i="16" a="1"/>
  <c r="G11" i="16" s="1"/>
  <c r="C12" i="16" a="1"/>
  <c r="C12" i="16" s="1"/>
  <c r="D15" i="16" a="1"/>
  <c r="D15" i="16" s="1"/>
  <c r="D13" i="16" a="1"/>
  <c r="D13" i="16" s="1"/>
  <c r="D10" i="16" a="1"/>
  <c r="D10" i="16" s="1"/>
  <c r="D17" i="16" a="1"/>
  <c r="D17" i="16" s="1"/>
  <c r="E15" i="16" a="1"/>
  <c r="E15" i="16" s="1"/>
  <c r="F17" i="16" a="1"/>
  <c r="F17" i="16" s="1"/>
  <c r="F15" i="16" a="1"/>
  <c r="F15" i="16" s="1"/>
  <c r="F10" i="16" a="1"/>
  <c r="F10" i="16" s="1"/>
  <c r="F12" i="16" a="1"/>
  <c r="F12" i="16" s="1"/>
  <c r="H32" i="1"/>
  <c r="C10" i="16" a="1"/>
  <c r="C10" i="16" s="1"/>
  <c r="F14" i="16" a="1"/>
  <c r="F14" i="16" s="1"/>
  <c r="C15" i="16" a="1"/>
  <c r="C15" i="16" s="1"/>
  <c r="G16" i="16" a="1"/>
  <c r="G16" i="16" s="1"/>
  <c r="E10" i="16" a="1"/>
  <c r="E10" i="16" s="1"/>
  <c r="F16" i="16" a="1"/>
  <c r="F16" i="16" s="1"/>
  <c r="E13" i="16" a="1"/>
  <c r="E13" i="16" s="1"/>
  <c r="C11" i="16" a="1"/>
  <c r="C11" i="16" s="1"/>
  <c r="G14" i="16" a="1"/>
  <c r="G14" i="16" s="1"/>
  <c r="G12" i="16" a="1"/>
  <c r="G12" i="16" s="1"/>
  <c r="G13" i="16" a="1"/>
  <c r="G13" i="16" s="1"/>
  <c r="G15" i="16" a="1"/>
  <c r="G15" i="16" s="1"/>
  <c r="G9" i="16" a="1"/>
  <c r="G9" i="16" s="1"/>
  <c r="G10" i="16" a="1"/>
  <c r="G10" i="16" s="1"/>
  <c r="G17" i="16" a="1"/>
  <c r="G17" i="16" s="1"/>
  <c r="F9" i="16" a="1"/>
  <c r="F9" i="16" s="1"/>
  <c r="E11" i="16" a="1"/>
  <c r="E11" i="16" s="1"/>
  <c r="D12" i="16" a="1"/>
  <c r="D12" i="16" s="1"/>
  <c r="F13" i="16" a="1"/>
  <c r="F13" i="16" s="1"/>
  <c r="E12" i="16" a="1"/>
  <c r="E12" i="16" s="1"/>
  <c r="D16" i="16" a="1"/>
  <c r="D16" i="16" s="1"/>
  <c r="E14" i="16" a="1"/>
  <c r="E14" i="16" s="1"/>
  <c r="E16" i="16" a="1"/>
  <c r="E16" i="16" s="1"/>
  <c r="E9" i="16" a="1"/>
  <c r="E9" i="16" s="1"/>
  <c r="C16" i="16" a="1"/>
  <c r="C16" i="16" s="1"/>
  <c r="C14" i="16" a="1"/>
  <c r="C14" i="16" s="1"/>
  <c r="C17" i="16" a="1"/>
  <c r="C17" i="16" s="1"/>
  <c r="N32" i="1"/>
  <c r="E5" i="5" s="1"/>
  <c r="L32" i="1"/>
  <c r="D5" i="5" s="1"/>
  <c r="D11" i="16" a="1"/>
  <c r="D11" i="16" s="1"/>
  <c r="E17" i="16" a="1"/>
  <c r="E17" i="16" s="1"/>
  <c r="D14" i="16" a="1"/>
  <c r="D14" i="16" s="1"/>
  <c r="D9" i="16" a="1"/>
  <c r="D9" i="16" s="1"/>
  <c r="C13" i="16" a="1"/>
  <c r="C13" i="16" s="1"/>
  <c r="J32" i="1"/>
  <c r="C5" i="5" s="1"/>
  <c r="P32" i="1"/>
  <c r="F5" i="5" s="1"/>
  <c r="H55" i="2"/>
  <c r="B6" i="5" s="1"/>
  <c r="C9" i="7"/>
  <c r="L6" i="3"/>
  <c r="L58" i="3" s="1"/>
  <c r="D7" i="5" s="1"/>
  <c r="N6" i="3"/>
  <c r="N58" i="3" s="1"/>
  <c r="E7" i="5" s="1"/>
  <c r="P55" i="2"/>
  <c r="F6" i="5" s="1"/>
  <c r="AB48" i="2"/>
  <c r="AC48" i="2" s="1"/>
  <c r="AB6" i="2"/>
  <c r="P6" i="3"/>
  <c r="P58" i="3" s="1"/>
  <c r="F7" i="5" s="1"/>
  <c r="R24" i="2"/>
  <c r="H17" i="16" s="1" a="1"/>
  <c r="AB51" i="2"/>
  <c r="AC51" i="2" s="1"/>
  <c r="AB6" i="1"/>
  <c r="R6" i="3"/>
  <c r="R58" i="3" s="1"/>
  <c r="J6" i="3"/>
  <c r="J58" i="3" s="1"/>
  <c r="H9" i="6"/>
  <c r="J55" i="2"/>
  <c r="C6" i="5" s="1"/>
  <c r="E9" i="7"/>
  <c r="E13" i="7" s="1"/>
  <c r="E9" i="6"/>
  <c r="G9" i="7"/>
  <c r="G13" i="7" s="1"/>
  <c r="I5" i="6"/>
  <c r="D9" i="6"/>
  <c r="I8" i="7"/>
  <c r="L55" i="2"/>
  <c r="G9" i="6"/>
  <c r="F9" i="6"/>
  <c r="I7" i="6"/>
  <c r="N55" i="2"/>
  <c r="E6" i="5" s="1"/>
  <c r="I8" i="6"/>
  <c r="C11" i="7"/>
  <c r="I11" i="7" s="1"/>
  <c r="I12" i="7" s="1"/>
  <c r="C18" i="7" s="1"/>
  <c r="AB16" i="1"/>
  <c r="I6" i="7"/>
  <c r="F9" i="7"/>
  <c r="F13" i="7" s="1"/>
  <c r="I5" i="7"/>
  <c r="I9" i="6" l="1"/>
  <c r="H13" i="16" a="1"/>
  <c r="H13" i="16" s="1"/>
  <c r="I13" i="16" s="1"/>
  <c r="C25" i="16" s="1"/>
  <c r="H9" i="16" a="1"/>
  <c r="H9" i="16" s="1"/>
  <c r="I9" i="16" s="1"/>
  <c r="C21" i="16" s="1"/>
  <c r="H14" i="16" a="1"/>
  <c r="H14" i="16" s="1"/>
  <c r="I14" i="16" s="1"/>
  <c r="C26" i="16" s="1"/>
  <c r="H16" i="16" a="1"/>
  <c r="H16" i="16" s="1"/>
  <c r="I16" i="16" s="1"/>
  <c r="H12" i="16" a="1"/>
  <c r="H12" i="16" s="1"/>
  <c r="I12" i="16" s="1"/>
  <c r="C24" i="16" s="1"/>
  <c r="H11" i="16" a="1"/>
  <c r="H11" i="16" s="1"/>
  <c r="I11" i="16" s="1"/>
  <c r="C23" i="16" s="1"/>
  <c r="H15" i="16" a="1"/>
  <c r="H15" i="16" s="1"/>
  <c r="I15" i="16" s="1"/>
  <c r="H10" i="16" a="1"/>
  <c r="H10" i="16" s="1"/>
  <c r="I10" i="16" s="1"/>
  <c r="C22" i="16" s="1"/>
  <c r="R55" i="2"/>
  <c r="G6" i="5" s="1"/>
  <c r="H17" i="16"/>
  <c r="I17" i="16" s="1"/>
  <c r="D18" i="16"/>
  <c r="D6" i="5"/>
  <c r="AB24" i="2"/>
  <c r="G7" i="5"/>
  <c r="H7" i="5" s="1"/>
  <c r="B5" i="5"/>
  <c r="H5" i="5" s="1"/>
  <c r="C8" i="5"/>
  <c r="E8" i="5"/>
  <c r="E18" i="16" s="1"/>
  <c r="C12" i="7"/>
  <c r="C13" i="7" s="1"/>
  <c r="AB32" i="1"/>
  <c r="F8" i="5"/>
  <c r="G18" i="16" s="1"/>
  <c r="I9" i="7"/>
  <c r="I13" i="7" s="1"/>
  <c r="I18" i="16" l="1"/>
  <c r="C27" i="16" s="1"/>
  <c r="D23" i="16" s="1"/>
  <c r="G8" i="5"/>
  <c r="AB55" i="2"/>
  <c r="H6" i="5"/>
  <c r="H18" i="16"/>
  <c r="D8" i="5"/>
  <c r="C18" i="16" s="1"/>
  <c r="B8" i="5"/>
  <c r="J4" i="6"/>
  <c r="J5" i="6"/>
  <c r="J8" i="6"/>
  <c r="J6" i="6"/>
  <c r="J7" i="6"/>
  <c r="J5" i="7"/>
  <c r="J7" i="7"/>
  <c r="J8" i="7"/>
  <c r="J6" i="7"/>
  <c r="A18" i="7"/>
  <c r="J11" i="7"/>
  <c r="J12" i="7" s="1"/>
  <c r="D24" i="16" l="1"/>
  <c r="D26" i="16"/>
  <c r="D21" i="16"/>
  <c r="D22" i="16"/>
  <c r="D25" i="16"/>
  <c r="H8" i="5"/>
  <c r="L9" i="7"/>
  <c r="F18" i="16"/>
  <c r="J9" i="6"/>
  <c r="J9" i="7"/>
  <c r="J13" i="7" s="1"/>
  <c r="K11" i="6" l="1"/>
  <c r="I11" i="5"/>
  <c r="G9" i="5"/>
  <c r="D9" i="5"/>
  <c r="C9" i="5"/>
  <c r="I5" i="5"/>
  <c r="I7" i="5"/>
  <c r="F9" i="5"/>
  <c r="B9" i="5"/>
  <c r="E9" i="5"/>
  <c r="L3" i="5"/>
  <c r="I6" i="5"/>
  <c r="I8" i="5" l="1"/>
</calcChain>
</file>

<file path=xl/comments1.xml><?xml version="1.0" encoding="utf-8"?>
<comments xmlns="http://schemas.openxmlformats.org/spreadsheetml/2006/main">
  <authors>
    <author>HP</author>
  </authors>
  <commentList>
    <comment ref="E19" authorId="0" shapeId="0">
      <text>
        <r>
          <rPr>
            <b/>
            <sz val="9"/>
            <color indexed="81"/>
            <rFont val="Tahoma"/>
            <family val="2"/>
          </rPr>
          <t>HP:</t>
        </r>
        <r>
          <rPr>
            <sz val="9"/>
            <color indexed="81"/>
            <rFont val="Tahoma"/>
            <family val="2"/>
          </rPr>
          <t xml:space="preserve">
Le passage de 2 à 5 magasins tient compte de l'ampleur des aménagements à réaliser</t>
        </r>
      </text>
    </comment>
    <comment ref="E20" authorId="0" shapeId="0">
      <text>
        <r>
          <rPr>
            <b/>
            <sz val="9"/>
            <color indexed="81"/>
            <rFont val="Tahoma"/>
            <family val="2"/>
          </rPr>
          <t>HP:</t>
        </r>
        <r>
          <rPr>
            <sz val="9"/>
            <color indexed="81"/>
            <rFont val="Tahoma"/>
            <family val="2"/>
          </rPr>
          <t xml:space="preserve">
Idem</t>
        </r>
      </text>
    </comment>
    <comment ref="B21" authorId="0" shapeId="0">
      <text>
        <r>
          <rPr>
            <b/>
            <sz val="9"/>
            <color indexed="81"/>
            <rFont val="Tahoma"/>
            <family val="2"/>
          </rPr>
          <t>HP:</t>
        </r>
        <r>
          <rPr>
            <sz val="9"/>
            <color indexed="81"/>
            <rFont val="Tahoma"/>
            <family val="2"/>
          </rPr>
          <t xml:space="preserve">
Les hangars de marché seront de 16 compartiments</t>
        </r>
      </text>
    </comment>
    <comment ref="E21" authorId="0" shapeId="0">
      <text>
        <r>
          <rPr>
            <b/>
            <sz val="9"/>
            <color indexed="81"/>
            <rFont val="Tahoma"/>
            <family val="2"/>
          </rPr>
          <t>HP:</t>
        </r>
        <r>
          <rPr>
            <sz val="9"/>
            <color indexed="81"/>
            <rFont val="Tahoma"/>
            <family val="2"/>
          </rPr>
          <t xml:space="preserve">
Idem</t>
        </r>
      </text>
    </comment>
    <comment ref="F23" authorId="0" shapeId="0">
      <text>
        <r>
          <rPr>
            <b/>
            <sz val="9"/>
            <color indexed="81"/>
            <rFont val="Tahoma"/>
            <family val="2"/>
          </rPr>
          <t>HP:</t>
        </r>
        <r>
          <rPr>
            <sz val="9"/>
            <color indexed="81"/>
            <rFont val="Tahoma"/>
            <family val="2"/>
          </rPr>
          <t xml:space="preserve">
Montant du Costab</t>
        </r>
      </text>
    </comment>
    <comment ref="S23"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List>
</comments>
</file>

<file path=xl/comments2.xml><?xml version="1.0" encoding="utf-8"?>
<comments xmlns="http://schemas.openxmlformats.org/spreadsheetml/2006/main">
  <authors>
    <author>HP</author>
  </authors>
  <commentList>
    <comment ref="F11" authorId="0" shapeId="0">
      <text>
        <r>
          <rPr>
            <b/>
            <sz val="9"/>
            <color indexed="81"/>
            <rFont val="Tahoma"/>
            <family val="2"/>
          </rPr>
          <t>HP:</t>
        </r>
        <r>
          <rPr>
            <sz val="9"/>
            <color indexed="81"/>
            <rFont val="Tahoma"/>
            <family val="2"/>
          </rPr>
          <t xml:space="preserve">
Montant du Costab</t>
        </r>
      </text>
    </comment>
    <comment ref="S11"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F12" authorId="0" shapeId="0">
      <text>
        <r>
          <rPr>
            <b/>
            <sz val="9"/>
            <color indexed="81"/>
            <rFont val="Tahoma"/>
            <family val="2"/>
          </rPr>
          <t>HP:</t>
        </r>
        <r>
          <rPr>
            <sz val="9"/>
            <color indexed="81"/>
            <rFont val="Tahoma"/>
            <family val="2"/>
          </rPr>
          <t xml:space="preserve">
Montant du Costab</t>
        </r>
      </text>
    </comment>
    <comment ref="S12"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F13" authorId="0" shapeId="0">
      <text>
        <r>
          <rPr>
            <b/>
            <sz val="9"/>
            <color indexed="81"/>
            <rFont val="Tahoma"/>
            <family val="2"/>
          </rPr>
          <t>HP:</t>
        </r>
        <r>
          <rPr>
            <sz val="9"/>
            <color indexed="81"/>
            <rFont val="Tahoma"/>
            <family val="2"/>
          </rPr>
          <t xml:space="preserve">
Montant du Costab</t>
        </r>
      </text>
    </comment>
    <comment ref="S13"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F14" authorId="0" shapeId="0">
      <text>
        <r>
          <rPr>
            <b/>
            <sz val="9"/>
            <color indexed="81"/>
            <rFont val="Tahoma"/>
            <family val="2"/>
          </rPr>
          <t>HP:</t>
        </r>
        <r>
          <rPr>
            <sz val="9"/>
            <color indexed="81"/>
            <rFont val="Tahoma"/>
            <family val="2"/>
          </rPr>
          <t xml:space="preserve">
Montant du Costab</t>
        </r>
      </text>
    </comment>
    <comment ref="S14"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F15" authorId="0" shapeId="0">
      <text>
        <r>
          <rPr>
            <b/>
            <sz val="9"/>
            <color indexed="81"/>
            <rFont val="Tahoma"/>
            <family val="2"/>
          </rPr>
          <t>HP:</t>
        </r>
        <r>
          <rPr>
            <sz val="9"/>
            <color indexed="81"/>
            <rFont val="Tahoma"/>
            <family val="2"/>
          </rPr>
          <t xml:space="preserve">
Montant du Costab</t>
        </r>
      </text>
    </comment>
    <comment ref="S15"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S16"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S17" authorId="0" shapeId="0">
      <text>
        <r>
          <rPr>
            <b/>
            <sz val="9"/>
            <color indexed="81"/>
            <rFont val="Tahoma"/>
            <family val="2"/>
          </rPr>
          <t>HP:</t>
        </r>
        <r>
          <rPr>
            <sz val="9"/>
            <color indexed="81"/>
            <rFont val="Tahoma"/>
            <family val="2"/>
          </rPr>
          <t xml:space="preserve">
La signature des contrats est prévue pour septembre. Prévision de 30% du budget pour paiement en 2019</t>
        </r>
      </text>
    </comment>
    <comment ref="F21" authorId="0" shapeId="0">
      <text>
        <r>
          <rPr>
            <b/>
            <sz val="9"/>
            <color indexed="81"/>
            <rFont val="Tahoma"/>
            <family val="2"/>
          </rPr>
          <t>HP:</t>
        </r>
        <r>
          <rPr>
            <sz val="9"/>
            <color indexed="81"/>
            <rFont val="Tahoma"/>
            <family val="2"/>
          </rPr>
          <t xml:space="preserve">
Sur la bese d'unpro forma</t>
        </r>
      </text>
    </comment>
  </commentList>
</comments>
</file>

<file path=xl/comments3.xml><?xml version="1.0" encoding="utf-8"?>
<comments xmlns="http://schemas.openxmlformats.org/spreadsheetml/2006/main">
  <authors>
    <author>HP</author>
  </authors>
  <commentList>
    <comment ref="B26" authorId="0" shapeId="0">
      <text>
        <r>
          <rPr>
            <b/>
            <sz val="9"/>
            <color indexed="81"/>
            <rFont val="Tahoma"/>
            <family val="2"/>
          </rPr>
          <t>HP:</t>
        </r>
        <r>
          <rPr>
            <sz val="9"/>
            <color indexed="81"/>
            <rFont val="Tahoma"/>
            <family val="2"/>
          </rPr>
          <t xml:space="preserve">
L'entretien des véhicules se fait au kilométrage parcouru, l'expérience des années antérieures donne un montant moyen de 100000f pour un entretien simlple par véhicule après 5000km parcouru, 5 véhicules</t>
        </r>
      </text>
    </comment>
    <comment ref="B27" authorId="0" shapeId="0">
      <text>
        <r>
          <rPr>
            <b/>
            <sz val="9"/>
            <color indexed="81"/>
            <rFont val="Tahoma"/>
            <family val="2"/>
          </rPr>
          <t>HP:Des expériences des années antérieurs, on a Un forfait de 65000 par entretein après 1500h</t>
        </r>
        <r>
          <rPr>
            <sz val="9"/>
            <color indexed="81"/>
            <rFont val="Tahoma"/>
            <family val="2"/>
          </rPr>
          <t xml:space="preserve">
</t>
        </r>
      </text>
    </comment>
    <comment ref="D55" authorId="0" shapeId="0">
      <text>
        <r>
          <rPr>
            <b/>
            <sz val="9"/>
            <color indexed="81"/>
            <rFont val="Tahoma"/>
            <family val="2"/>
          </rPr>
          <t>HP:</t>
        </r>
        <r>
          <rPr>
            <sz val="9"/>
            <color indexed="81"/>
            <rFont val="Tahoma"/>
            <family val="2"/>
          </rPr>
          <t xml:space="preserve">
Sur la base d'un pro forma</t>
        </r>
      </text>
    </comment>
  </commentList>
</comments>
</file>

<file path=xl/comments4.xml><?xml version="1.0" encoding="utf-8"?>
<comments xmlns="http://schemas.openxmlformats.org/spreadsheetml/2006/main">
  <authors>
    <author>ABELLE HOUESSOU</author>
    <author>HP</author>
  </authors>
  <commentList>
    <comment ref="B329" authorId="0" shapeId="0">
      <text>
        <r>
          <rPr>
            <b/>
            <sz val="9"/>
            <color indexed="81"/>
            <rFont val="Tahoma"/>
            <family val="2"/>
          </rPr>
          <t>ABELLE HOUESSOU:</t>
        </r>
        <r>
          <rPr>
            <sz val="9"/>
            <color indexed="81"/>
            <rFont val="Tahoma"/>
            <family val="2"/>
          </rPr>
          <t xml:space="preserve">
Cf. commentaire dans le Template.</t>
        </r>
      </text>
    </comment>
    <comment ref="E393" authorId="1" shapeId="0">
      <text>
        <r>
          <rPr>
            <b/>
            <sz val="9"/>
            <color indexed="81"/>
            <rFont val="Tahoma"/>
            <family val="2"/>
          </rPr>
          <t>HP:</t>
        </r>
        <r>
          <rPr>
            <sz val="9"/>
            <color indexed="81"/>
            <rFont val="Tahoma"/>
            <family val="2"/>
          </rPr>
          <t xml:space="preserve">
2 pauses dans la journée</t>
        </r>
      </text>
    </comment>
  </commentList>
</comments>
</file>

<file path=xl/sharedStrings.xml><?xml version="1.0" encoding="utf-8"?>
<sst xmlns="http://schemas.openxmlformats.org/spreadsheetml/2006/main" count="1414" uniqueCount="633">
  <si>
    <t>Code</t>
  </si>
  <si>
    <t>Unité</t>
  </si>
  <si>
    <t>Quantité</t>
  </si>
  <si>
    <t>P.U. (FCFA '000)</t>
  </si>
  <si>
    <t>BUDGET ANNUEL (FCFA '000)</t>
  </si>
  <si>
    <t>Responsable</t>
  </si>
  <si>
    <t>Partenaire</t>
  </si>
  <si>
    <t>Chronogramme</t>
  </si>
  <si>
    <t>Categories</t>
  </si>
  <si>
    <t>Article PIP</t>
  </si>
  <si>
    <t>%</t>
  </si>
  <si>
    <t>FIDA PRÊT</t>
  </si>
  <si>
    <t>FIDA DON</t>
  </si>
  <si>
    <t>ETAT</t>
  </si>
  <si>
    <t>ASAP</t>
  </si>
  <si>
    <t>OFID</t>
  </si>
  <si>
    <t>BENEFICIAIRES</t>
  </si>
  <si>
    <t>Total</t>
  </si>
  <si>
    <t>T1</t>
  </si>
  <si>
    <t>T2</t>
  </si>
  <si>
    <t>T3</t>
  </si>
  <si>
    <t>T4</t>
  </si>
  <si>
    <t>Composante 1 : Valorisation et mise en marché</t>
  </si>
  <si>
    <t>Total Composante 1</t>
  </si>
  <si>
    <t>Total Composante 2</t>
  </si>
  <si>
    <t xml:space="preserve"> Categories</t>
  </si>
  <si>
    <t>Repartion du budget par composante</t>
  </si>
  <si>
    <t>1 USD</t>
  </si>
  <si>
    <t>Composante</t>
  </si>
  <si>
    <t>Source</t>
  </si>
  <si>
    <t>TOTAL</t>
  </si>
  <si>
    <t>% sur le budget Total</t>
  </si>
  <si>
    <t>Budget</t>
  </si>
  <si>
    <t>FIDA-PRÊT</t>
  </si>
  <si>
    <t>FIDA-DON</t>
  </si>
  <si>
    <t>Composante 1</t>
  </si>
  <si>
    <t>Composante 2</t>
  </si>
  <si>
    <t>Composante 3</t>
  </si>
  <si>
    <t>Categorie de depenses</t>
  </si>
  <si>
    <t>SOURCE DE FINANCEMENT (000 FCFA)</t>
  </si>
  <si>
    <t>BUDGET</t>
  </si>
  <si>
    <t>% par categorie sur budget total</t>
  </si>
  <si>
    <t>Equipement et matériel</t>
  </si>
  <si>
    <t>Consultations</t>
  </si>
  <si>
    <t>Dons et subventions</t>
  </si>
  <si>
    <t>Formation</t>
  </si>
  <si>
    <t>Salaires et indemnités</t>
  </si>
  <si>
    <t>Total Budget</t>
  </si>
  <si>
    <t>Dépenses d'investissement</t>
  </si>
  <si>
    <t>Total dépenses d'investissement</t>
  </si>
  <si>
    <t>Dépenses de fonctionnement</t>
  </si>
  <si>
    <t>Total dépenses de fonctionnement</t>
  </si>
  <si>
    <t>Indicateur</t>
  </si>
  <si>
    <t>Libellé</t>
  </si>
  <si>
    <t>Cible 2019</t>
  </si>
  <si>
    <t>PLAN DE TRAVAIL ET BUDGET ANNUEL 2019 DETAILLE DES ACTIVITES DE LA COMPOSANTE 1</t>
  </si>
  <si>
    <t>A11</t>
  </si>
  <si>
    <t>A111</t>
  </si>
  <si>
    <t>A112</t>
  </si>
  <si>
    <t>A113</t>
  </si>
  <si>
    <t>A12</t>
  </si>
  <si>
    <t>A121</t>
  </si>
  <si>
    <t>A122</t>
  </si>
  <si>
    <t>A131</t>
  </si>
  <si>
    <t>A132</t>
  </si>
  <si>
    <t>Actions/Activité/Sous activité</t>
  </si>
  <si>
    <t>A2</t>
  </si>
  <si>
    <t>A21</t>
  </si>
  <si>
    <t>A211</t>
  </si>
  <si>
    <t>A212</t>
  </si>
  <si>
    <t>A213</t>
  </si>
  <si>
    <t>A22</t>
  </si>
  <si>
    <t>A221</t>
  </si>
  <si>
    <t>A222</t>
  </si>
  <si>
    <t>A223</t>
  </si>
  <si>
    <t>A224</t>
  </si>
  <si>
    <t>A225</t>
  </si>
  <si>
    <t>A226</t>
  </si>
  <si>
    <t>A227</t>
  </si>
  <si>
    <t>A23</t>
  </si>
  <si>
    <t>A231</t>
  </si>
  <si>
    <t>A232</t>
  </si>
  <si>
    <t>A3</t>
  </si>
  <si>
    <t>A31</t>
  </si>
  <si>
    <t>A311</t>
  </si>
  <si>
    <t>A312</t>
  </si>
  <si>
    <t>A313</t>
  </si>
  <si>
    <t>A314</t>
  </si>
  <si>
    <t>A315</t>
  </si>
  <si>
    <t>A32</t>
  </si>
  <si>
    <t>A321</t>
  </si>
  <si>
    <t>A322</t>
  </si>
  <si>
    <t>A323</t>
  </si>
  <si>
    <t>A324</t>
  </si>
  <si>
    <t>A325</t>
  </si>
  <si>
    <t>A326</t>
  </si>
  <si>
    <t>A327</t>
  </si>
  <si>
    <t>A328</t>
  </si>
  <si>
    <t>A329</t>
  </si>
  <si>
    <t>Composante 2: Amélioration de la productivité et de la production maraîchère</t>
  </si>
  <si>
    <t>Composante 3: Coordination, suivi-évaluation et gestion des savoirs</t>
  </si>
  <si>
    <t>PLAN DE TRAVAIL ET BUDGET ANNUEL 2019 DETAILLE DES ACTIVITES DE LA COMPOSANTE 2</t>
  </si>
  <si>
    <t>Lot</t>
  </si>
  <si>
    <t>Km</t>
  </si>
  <si>
    <t>Commune</t>
  </si>
  <si>
    <t>Convention</t>
  </si>
  <si>
    <t>Etude</t>
  </si>
  <si>
    <t>Forfait</t>
  </si>
  <si>
    <t>RDFM</t>
  </si>
  <si>
    <t>nombre</t>
  </si>
  <si>
    <t>Nombre</t>
  </si>
  <si>
    <t>pers.mois</t>
  </si>
  <si>
    <t>Coord/ProCaR</t>
  </si>
  <si>
    <t>C/Projet, RAF, Comptable</t>
  </si>
  <si>
    <t>X</t>
  </si>
  <si>
    <t>URA</t>
  </si>
  <si>
    <t>C/PADMAR, PF, TSM, FTFM, OP</t>
  </si>
  <si>
    <t>RAF</t>
  </si>
  <si>
    <t>C/Projet, Comptable, RURA</t>
  </si>
  <si>
    <t xml:space="preserve">Comptable, </t>
  </si>
  <si>
    <t>CSE</t>
  </si>
  <si>
    <t>RSECC</t>
  </si>
  <si>
    <t>R/URA, C/PADMAR, ABE, DPP</t>
  </si>
  <si>
    <t>C/PADMAR</t>
  </si>
  <si>
    <t>x</t>
  </si>
  <si>
    <t>RGSC</t>
  </si>
  <si>
    <t>R URA, RGJC, C/PADMAR</t>
  </si>
  <si>
    <t>RGJC</t>
  </si>
  <si>
    <t>RURA, FTFM C/PADMAR</t>
  </si>
  <si>
    <t>Coordonnateur, RPM</t>
  </si>
  <si>
    <t>Pers.mois</t>
  </si>
  <si>
    <t>RPM, Coord/ProCaR, RAF</t>
  </si>
  <si>
    <t>C/PADMAR, R/URA, RGJC, RSECC</t>
  </si>
  <si>
    <t>RAI</t>
  </si>
  <si>
    <t>RPM, RDFM, R/URA,RAF</t>
  </si>
  <si>
    <t>C/PADMAR, R/URA</t>
  </si>
  <si>
    <t>C/PADMAR, R/URA, CSE</t>
  </si>
  <si>
    <t>forfait</t>
  </si>
  <si>
    <t>Chef Projet, Comptable, Coordonnateur</t>
  </si>
  <si>
    <t>Chef Projet, Comptable</t>
  </si>
  <si>
    <t>RSE</t>
  </si>
  <si>
    <t>RDFM, R/URA, Chef projet, RSECC,,RSE</t>
  </si>
  <si>
    <t>RSE, R/URA</t>
  </si>
  <si>
    <t>Total Composante 3</t>
  </si>
  <si>
    <t>CSE, Chef Projet, RAF</t>
  </si>
  <si>
    <t>RSE, Chef Projet</t>
  </si>
  <si>
    <t>ASECC, Chef Projet</t>
  </si>
  <si>
    <t>Chef Projet</t>
  </si>
  <si>
    <t>Chef Projet, R/URA</t>
  </si>
  <si>
    <t>Sous-Composante 1.1: Développement des partenariats et professionnalisation des acteurs</t>
  </si>
  <si>
    <t>Sous-Composante 1.2: Infrastructures marchandes et d’accès aux marchés</t>
  </si>
  <si>
    <t>Sous-Composante 2.1: Aménagements maraîchers résilients</t>
  </si>
  <si>
    <t>Sous-Composante 2.2: Accès aux technologies et techniques améliorés</t>
  </si>
  <si>
    <t>Sous-Composante 3.1: Coordination et gestion</t>
  </si>
  <si>
    <t>Sous-Composante 3.2: Suivi-évaluation, genre et gestion des savoirs</t>
  </si>
  <si>
    <t>Action 1.1.1: Amélioration de la gouvernance de la filière maraîchère (Table filières Maraîchères)</t>
  </si>
  <si>
    <t>Action 1.1.2: Renforcement des capacités institutionnelles des acteurs</t>
  </si>
  <si>
    <t>Action 1.1.3: Appui aux systèmes d’information sur les prix et marchés maraîchers</t>
  </si>
  <si>
    <t>Action 1.2.1: Construction et/ou la réhabilitation d’infrastructures de groupage, conditionnement, stockage temporaire et vente</t>
  </si>
  <si>
    <t>Action 1.2.2: Réhabilitation et entretien des pistes de désenclavement des zones maraîchères</t>
  </si>
  <si>
    <t>Action 1.3.1: Renforcement des capacités logistiques et en équipements</t>
  </si>
  <si>
    <t>Action 1.3.2: Emoluments et frais de missions des FTFM</t>
  </si>
  <si>
    <t>A1.1.1.1</t>
  </si>
  <si>
    <t>A1.1.1.2</t>
  </si>
  <si>
    <t>A1.1.3.1</t>
  </si>
  <si>
    <t>A1.1.3.2</t>
  </si>
  <si>
    <t>A1.2.1.1</t>
  </si>
  <si>
    <t>A1.2.1.2</t>
  </si>
  <si>
    <t>A1.2.1.3</t>
  </si>
  <si>
    <t>A1.2.2.1</t>
  </si>
  <si>
    <t>A1.2.2.2</t>
  </si>
  <si>
    <t>A1.2.2.3</t>
  </si>
  <si>
    <t>A1.3.1.1</t>
  </si>
  <si>
    <t>A1.3.1.2</t>
  </si>
  <si>
    <t>A.1.3.2.1</t>
  </si>
  <si>
    <t>Réaliser la Réhabilitation pistes</t>
  </si>
  <si>
    <t>Acquérir des Moto aux DDAEP (service en charge des aménagement/équipements)</t>
  </si>
  <si>
    <t>Acquérir des Equipements d'entretien des pistes</t>
  </si>
  <si>
    <t>Action 2.1.1: Sécurisation foncière des exploitants maraîchers</t>
  </si>
  <si>
    <t>Action 2.1.2: Aménagements maraîchers</t>
  </si>
  <si>
    <t>Action 2.2.1: Elaboration et mise en application des Plans d'investissement</t>
  </si>
  <si>
    <t>Action 2.2.2: Appui à l'acquisition de Kits maraîchers (KM)</t>
  </si>
  <si>
    <t>Action 2.2.3: Appui-conseil spécialisé en maraîchage</t>
  </si>
  <si>
    <t>Action 2.2.4: Appui à la production et distribution des intrants de qualité</t>
  </si>
  <si>
    <t xml:space="preserve">Action 2.2.5: Conventions avec les autres structures </t>
  </si>
  <si>
    <t>Action 2.2.6: Recherche action et démonstrations des innovations dans la filière maraîchère</t>
  </si>
  <si>
    <t>Action 2.2.7: Promotion de la qualité nutritionnelle et sanitaire</t>
  </si>
  <si>
    <t>Action 2.3.1: Renforcement des capacités logistiques et en équipements</t>
  </si>
  <si>
    <t>Action 2.3.2: Emoluments et frais de missions</t>
  </si>
  <si>
    <t>A2.1.1.1</t>
  </si>
  <si>
    <t>A2.1.2.1</t>
  </si>
  <si>
    <t>A2.2.1.1</t>
  </si>
  <si>
    <t>A2.2.1.2</t>
  </si>
  <si>
    <t>A2.2.1.3</t>
  </si>
  <si>
    <t>A2.2.2.1</t>
  </si>
  <si>
    <t>A2.2.2.2</t>
  </si>
  <si>
    <t>A2.2.3.1</t>
  </si>
  <si>
    <t>A.2.2.4.1</t>
  </si>
  <si>
    <t>A.2.2.4.2</t>
  </si>
  <si>
    <t>A.2.2.4.3</t>
  </si>
  <si>
    <t>A2.2.5.1</t>
  </si>
  <si>
    <t>A2.2.6.1</t>
  </si>
  <si>
    <t>A2.2.6.2</t>
  </si>
  <si>
    <t>A2.2.7.1</t>
  </si>
  <si>
    <t>A2.2.7.2</t>
  </si>
  <si>
    <t>A2.3.2.1</t>
  </si>
  <si>
    <t>A2.3.2.3</t>
  </si>
  <si>
    <t>Action 3.1.1: Gestion des ressources humaines</t>
  </si>
  <si>
    <t>Action 3.1.2: Gestion financière, comptable et administrative</t>
  </si>
  <si>
    <t>Action 3.1.3: Coordination technique</t>
  </si>
  <si>
    <t>Action 3.1.4: Renforcement des investissements en équipements et véhicules du projet</t>
  </si>
  <si>
    <t xml:space="preserve">Action 3.1.5: Entretien et fonctionnement des locaux et équipement </t>
  </si>
  <si>
    <t>Action 3.2.1: Coordination des activités de S&amp;E</t>
  </si>
  <si>
    <t>Action 3.2.3: Suivi d'exécution et de la performance</t>
  </si>
  <si>
    <t>Action 3.2.4: Suivi d'impact et études spécifiques</t>
  </si>
  <si>
    <t>Action 3.2.5: Promotion du genre</t>
  </si>
  <si>
    <t>Action 3.2.6: Mission de supervision et revues du projet</t>
  </si>
  <si>
    <t>Action 3.2.7: Développement et entretien du SI-S&amp;E</t>
  </si>
  <si>
    <t>Action 3.2.8: Gestion des savoirs et de l'information</t>
  </si>
  <si>
    <t>Action 3.2.9: Renforcement du système de S&amp;E du MAEP</t>
  </si>
  <si>
    <t>A.3.1.1.1</t>
  </si>
  <si>
    <t>A.3.1.1.2</t>
  </si>
  <si>
    <t>A.3.1.1.3</t>
  </si>
  <si>
    <t>A.3.1.1.4</t>
  </si>
  <si>
    <t>A.3.1.1.5</t>
  </si>
  <si>
    <t>A.3.1.1.6</t>
  </si>
  <si>
    <t>A3.1.2.1</t>
  </si>
  <si>
    <t>A.3.1.3.1</t>
  </si>
  <si>
    <t>A.3.1.4.1</t>
  </si>
  <si>
    <t>A.3.1.4.2</t>
  </si>
  <si>
    <t>A.3.1.5.1</t>
  </si>
  <si>
    <t>A.3.2.2.1</t>
  </si>
  <si>
    <t>A.3.2.3.1</t>
  </si>
  <si>
    <t>A.3.2.3.2</t>
  </si>
  <si>
    <t>A.3.2.4.2</t>
  </si>
  <si>
    <t>A.3.2.4.3</t>
  </si>
  <si>
    <t>A.3.2.5.1</t>
  </si>
  <si>
    <t>A.3.2.5.2</t>
  </si>
  <si>
    <t>A.3.2.6.1</t>
  </si>
  <si>
    <t>A.3.2.7.1</t>
  </si>
  <si>
    <t>A.3.2.8.1</t>
  </si>
  <si>
    <t>A.3.2.9.1</t>
  </si>
  <si>
    <t>Personnes associées</t>
  </si>
  <si>
    <t>R/URA</t>
  </si>
  <si>
    <t>FIDA</t>
  </si>
  <si>
    <t>Coordonnateur</t>
  </si>
  <si>
    <t>Chef/PADMAR</t>
  </si>
  <si>
    <t xml:space="preserve">Rubrique </t>
  </si>
  <si>
    <t xml:space="preserve">PU </t>
  </si>
  <si>
    <t>QTE (H/J)</t>
  </si>
  <si>
    <t>Montant</t>
  </si>
  <si>
    <t>Déplacement</t>
  </si>
  <si>
    <t>NB PERS.</t>
  </si>
  <si>
    <t>NB JOURS</t>
  </si>
  <si>
    <t>Location salle</t>
  </si>
  <si>
    <t>Carburant</t>
  </si>
  <si>
    <t>Frais de mission des CVA du Projet</t>
  </si>
  <si>
    <t>Plaque</t>
  </si>
  <si>
    <t>A.3.2.8.2</t>
  </si>
  <si>
    <t>A.3.2.8.3</t>
  </si>
  <si>
    <t>A.3.2.8.4</t>
  </si>
  <si>
    <t>CSE, RAF</t>
  </si>
  <si>
    <t>Réaliser la construction des magasins ( y compris les équipements)</t>
  </si>
  <si>
    <t>Réaliser la construction des Boutiques d'intrants ( y compris les équipements)</t>
  </si>
  <si>
    <t>ha</t>
  </si>
  <si>
    <t>kits</t>
  </si>
  <si>
    <t>kit</t>
  </si>
  <si>
    <t>Equipe PADMAR, RGJC, RGSC</t>
  </si>
  <si>
    <t>Appuyer l'ATDA 1 dans le cadre du pilotage de la promotion de la filière maraichage</t>
  </si>
  <si>
    <t>R/URA, C/PADMAR</t>
  </si>
  <si>
    <t>C/PADMAR, R/URA, RGJC</t>
  </si>
  <si>
    <t xml:space="preserve">Acquérir et mettre en terre des plants pour la végétalisation des sites maraichers (avec l'appui des agents des eaux et forêts) </t>
  </si>
  <si>
    <t>C/PADMAR, RGSC, R/URA</t>
  </si>
  <si>
    <t>RGSC, RDFM, C/PADMAR, R/URA</t>
  </si>
  <si>
    <t xml:space="preserve">Action 3.2.2: Renforcement des capacités du personnel </t>
  </si>
  <si>
    <t>CSE, C/PADMAR</t>
  </si>
  <si>
    <t>A2.1.2.2</t>
  </si>
  <si>
    <t>A2.1.2.3</t>
  </si>
  <si>
    <t>A2.1.2.4</t>
  </si>
  <si>
    <t>A2.1.2.5</t>
  </si>
  <si>
    <t>A2.1.2.6</t>
  </si>
  <si>
    <t>A2.1.2.7</t>
  </si>
  <si>
    <t>A2.1.2.8</t>
  </si>
  <si>
    <t>A2.1.2.9</t>
  </si>
  <si>
    <t>A2.2.3.2</t>
  </si>
  <si>
    <t>Pause-café</t>
  </si>
  <si>
    <t>Perdiems participants</t>
  </si>
  <si>
    <t>Honoraire pretataire</t>
  </si>
  <si>
    <t>Lieu : ProCaR</t>
  </si>
  <si>
    <t>Perdiems des cadres</t>
  </si>
  <si>
    <t xml:space="preserve">Frais de prestation et de d'organisation de l'atelier de validation </t>
  </si>
  <si>
    <t>Honoraire consultant principal</t>
  </si>
  <si>
    <t>Honoraire consultants associés</t>
  </si>
  <si>
    <t>Atelier de validation (1 jour)</t>
  </si>
  <si>
    <t>Pause-Déjeuner</t>
  </si>
  <si>
    <t>frais mission CVA</t>
  </si>
  <si>
    <t>PAR BAILLEUR (EN MILLIONS DE F CFA)</t>
  </si>
  <si>
    <t>**************************</t>
  </si>
  <si>
    <t xml:space="preserve"> </t>
  </si>
  <si>
    <t>Chapitre</t>
  </si>
  <si>
    <t>Titre de projet : PADMAR</t>
  </si>
  <si>
    <t xml:space="preserve">Budget National </t>
  </si>
  <si>
    <t>Dons</t>
  </si>
  <si>
    <t>Prêts</t>
  </si>
  <si>
    <t>Article</t>
  </si>
  <si>
    <t>Personnel</t>
  </si>
  <si>
    <t>Achats de Biens et Services</t>
  </si>
  <si>
    <t>Immobilisations incorporelles</t>
  </si>
  <si>
    <t>Acquisition et aménagement des sols et sous-sols</t>
  </si>
  <si>
    <t>Acquisitions, constructions et grosses réparations des immeubles</t>
  </si>
  <si>
    <t>Acquisitions et grosses réparations du matériel et mobilier</t>
  </si>
  <si>
    <t>Acquisition, construction, grosses réparations des équipements militaires</t>
  </si>
  <si>
    <t>Prises de participations – placements cautionnement</t>
  </si>
  <si>
    <t>Transferts en capital</t>
  </si>
  <si>
    <t>-</t>
  </si>
  <si>
    <t>REPARTITION DE CREDIT 2019 PAR NATURE DE DEPENSES ET</t>
  </si>
  <si>
    <t>Bénéficiaires</t>
  </si>
  <si>
    <t>A2.1.3.1</t>
  </si>
  <si>
    <t>mois</t>
  </si>
  <si>
    <t>RSECC, Chef Projet</t>
  </si>
  <si>
    <t>RAI, Chef projet</t>
  </si>
  <si>
    <t>RPM, Chef projet</t>
  </si>
  <si>
    <t>Autres frais (déplacement, communication, etc.)</t>
  </si>
  <si>
    <t>A 2.2.2.1</t>
  </si>
  <si>
    <t>Installation chantier</t>
  </si>
  <si>
    <t>Terrassement</t>
  </si>
  <si>
    <t>Maconnerie beton</t>
  </si>
  <si>
    <t>Enduits-revetement</t>
  </si>
  <si>
    <t>Menuiserie metallique</t>
  </si>
  <si>
    <t>Charpente métallique-couverture</t>
  </si>
  <si>
    <t>Electricité</t>
  </si>
  <si>
    <t>Plomberie sanitaire</t>
  </si>
  <si>
    <t>peinture badigeon</t>
  </si>
  <si>
    <t>Equipement</t>
  </si>
  <si>
    <t>Rubriques</t>
  </si>
  <si>
    <t>Etudes techniques de base et de dimensionnement des systèmes d'aménagement</t>
  </si>
  <si>
    <t>Etude géophysique</t>
  </si>
  <si>
    <t>Etude pédologique</t>
  </si>
  <si>
    <t>Etude environnementale</t>
  </si>
  <si>
    <t>petit outillage</t>
  </si>
  <si>
    <t>Nombre de personnes</t>
  </si>
  <si>
    <t>Contribution d'un individu</t>
  </si>
  <si>
    <t>Armoire</t>
  </si>
  <si>
    <t xml:space="preserve">Carburant </t>
  </si>
  <si>
    <t xml:space="preserve">CVA </t>
  </si>
  <si>
    <t>A3.1.3.6</t>
  </si>
  <si>
    <t>Connexion à la fibre optique de l'OPT</t>
  </si>
  <si>
    <t>Acquistion serveur et sécurisation fibre optique</t>
  </si>
  <si>
    <t>Montant estimatif</t>
  </si>
  <si>
    <t>Prix unitaire (estimation)</t>
  </si>
  <si>
    <t>NB: Sur la base d'une Facture promat</t>
  </si>
  <si>
    <t>CSE, R URA, RGJC, C/PADMAR</t>
  </si>
  <si>
    <t>NB: Sur la base d'un proforma</t>
  </si>
  <si>
    <t>NB: Montant estimatif sur la base du budget de la convention avec la DGR</t>
  </si>
  <si>
    <t>NB: Sur la baes d'un proforma</t>
  </si>
  <si>
    <t>Motopompes</t>
  </si>
  <si>
    <t>Tuyauterie et autres accessoires</t>
  </si>
  <si>
    <t>Atelier de validation</t>
  </si>
  <si>
    <t>Communication</t>
  </si>
  <si>
    <t xml:space="preserve">forfait </t>
  </si>
  <si>
    <t>Frais mission personnes ressources</t>
  </si>
  <si>
    <t>Hébergement MR</t>
  </si>
  <si>
    <t>Déjeuner MR</t>
  </si>
  <si>
    <t>Déplacement MR</t>
  </si>
  <si>
    <t>Frais de mission TSM</t>
  </si>
  <si>
    <t>Frais rpt PADMAR</t>
  </si>
  <si>
    <t>Frais de mission des CVA IPADMAR</t>
  </si>
  <si>
    <t>Carburant véhicule PADMAR</t>
  </si>
  <si>
    <t>A.2.2.7.1</t>
  </si>
  <si>
    <t>Honoraire consultant</t>
  </si>
  <si>
    <t>Prix unitaire</t>
  </si>
  <si>
    <t>Ordinateurs portatifs</t>
  </si>
  <si>
    <t>A 3.1.4.2</t>
  </si>
  <si>
    <t>Déjeuner</t>
  </si>
  <si>
    <t>A3.2.71</t>
  </si>
  <si>
    <t>Honoraire prestataire</t>
  </si>
  <si>
    <t>A.3.2.1.1</t>
  </si>
  <si>
    <t>A.3.2.1.2</t>
  </si>
  <si>
    <t>Frais de prestation du Cabinet</t>
  </si>
  <si>
    <t>Apurement des engagements de 2018 (Travaux d'étancheté du bloc administratif du ProCaR, étude de référence, enquête SYGRI de référence, plan SE COSOP, manuel SE des projets)</t>
  </si>
  <si>
    <t>Rubrique</t>
  </si>
  <si>
    <t>Solde des contrats 2018</t>
  </si>
  <si>
    <t>Réalisation des travaux d'étancheté du bloc administratif du ProCaR</t>
  </si>
  <si>
    <t>Réalisation de l'étude de référence SYGRI PADMAR</t>
  </si>
  <si>
    <t>Asssistance et maintenance du logiciel de gestion comptable et financière</t>
  </si>
  <si>
    <t>Mise en place du plan SE du ProCaR et des manuels projets PADMAR et PAPSFRA</t>
  </si>
  <si>
    <t>Intégration du manuel de SE du PADAAM</t>
  </si>
  <si>
    <t>RPM</t>
  </si>
  <si>
    <t xml:space="preserve"> RAF</t>
  </si>
  <si>
    <t>A3.1.3.1</t>
  </si>
  <si>
    <t>Cout par ha</t>
  </si>
  <si>
    <t>Matériaux de construction</t>
  </si>
  <si>
    <t>Materels de travail (semelles, pistons, tarriere)</t>
  </si>
  <si>
    <t>Main d'œuvre+ transport</t>
  </si>
  <si>
    <t>Contractualiser avec des artisans locaux pour la réalisation des planches surelevées au niveau des sites maraichers</t>
  </si>
  <si>
    <t>A2.1.2.9: Contractualiser avec des artisans locaux pour la réalisation des planches surelevées au niveau des sites maraichers</t>
  </si>
  <si>
    <t>Main d'œuvre pour la confection d'une planches surelevées de 25 m de long sur 2m50 de large</t>
  </si>
  <si>
    <t>Observation</t>
  </si>
  <si>
    <t>70 planches sur 1 ha</t>
  </si>
  <si>
    <t>Honoraire pretataire (3 cabinets de 3 experts chacun)</t>
  </si>
  <si>
    <t>Echange</t>
  </si>
  <si>
    <t>A.3.1.5.2</t>
  </si>
  <si>
    <t>Réaliser l'étude préalable de dimensionnement des kits efficients en eau par des cabinets</t>
  </si>
  <si>
    <t>Lieu : ProCaR; 1/2 journée</t>
  </si>
  <si>
    <t>Pause-déjeuner</t>
  </si>
  <si>
    <t>Contractualiser avec la Fondation de l'Université d'Abomey-Calavi (FUAC)/ et l'ONG Solidarité Entreprises Nord Sud (SenS) pour l'élaboration et la validation des plans d'affaires/plan d'investissement par pôle: Frais de prestation d'un consultant</t>
  </si>
  <si>
    <t>Consultant</t>
  </si>
  <si>
    <t>Assurer le paiement des honoraires de l'Assistant du coordinateur</t>
  </si>
  <si>
    <t>Assurer le paiement des honoraires du Responsable administratif et financier</t>
  </si>
  <si>
    <t>Assurer le paiement des honoraires du Responsable suivi &amp;évaluation</t>
  </si>
  <si>
    <t>Assurer le paiement des honoraires du Responsable passation des marchés</t>
  </si>
  <si>
    <t>Assurer le paiement des honoraires de l'Assistant passation des marchés</t>
  </si>
  <si>
    <t>Assurer le paiement des honoraires de l'Assistant de Direction</t>
  </si>
  <si>
    <t>Assurer le paiement des honoraires de l'Assistant Administratif</t>
  </si>
  <si>
    <t>Assurer le paiement des honoraires de la Chargé suivi&amp;évaluation</t>
  </si>
  <si>
    <t>Assurer le paiement des honoraires du Comptable</t>
  </si>
  <si>
    <t>Assurer le paiement des honoraires de l'Assistant suivi des activités environnement climat (5ans)</t>
  </si>
  <si>
    <t>Assurer le paiement des honoraires de l'Assistant au Responsable URA</t>
  </si>
  <si>
    <t>Assurer le paiement des honoraires du Responsable URA</t>
  </si>
  <si>
    <t>Assurer le paiement des honoraires du Chef projet</t>
  </si>
  <si>
    <t>Assurer le paiement des honoraires du Comptable URA</t>
  </si>
  <si>
    <t>A1.2.1.4</t>
  </si>
  <si>
    <t>Chef projet, Coordonnateur</t>
  </si>
  <si>
    <t>Perdiems consultant</t>
  </si>
  <si>
    <t>Organiser une rencontre d'échanges au ProCaR pour établissement de l'état des lieux dans le cadre du système d'information sur les prix des produits maraichers, les intrants, les surplus disponibles, et sur les opportunites d'affaires (Participants potentiels: DIP, DSA, DPP, DDAEP, INSAE, ATDA, PROFI, ProCAD, ProAgri, PAIA-Vo, Coopération Néerlandaise)</t>
  </si>
  <si>
    <t xml:space="preserve">Organiser l'évaluation externe des radio communautaires </t>
  </si>
  <si>
    <t>Frais mission</t>
  </si>
  <si>
    <t>Proformat</t>
  </si>
  <si>
    <t>Contribuer à l'acquisition/installation de serveur et assurer la sécurisation de la fibre optique dans le cadre de la fluidité de l'internet</t>
  </si>
  <si>
    <t>A2.3.2.2</t>
  </si>
  <si>
    <t xml:space="preserve">Construire des hangars de marché </t>
  </si>
  <si>
    <t>Réaliser les études d'impacts environnemental simplifiées relatives à la construction et ou la réhabilitation des infrastructures de groupage, conditionnement et stockage/vente avec un Cabinet/groupement de Cabinets</t>
  </si>
  <si>
    <t>Honoraire pretataire et perdiems(cabinet: 2 spécialitses)</t>
  </si>
  <si>
    <t>Borne d'identification</t>
  </si>
  <si>
    <t>Action 2.1.3: Mise en place de partenariats dans cadre aménagement</t>
  </si>
  <si>
    <t>Signer et mettre en œuvre la convention avec la PNOPPA dans le cadre de la structuration de la filière maraichère, l’animation des tables filières, le renforcement de leurs capacités, le Diagnostic Institutionnel participatif des OP et le suivi de la production en lien avec les ATDA et DDAEP</t>
  </si>
  <si>
    <t xml:space="preserve">Poursuivre la mise en oeuvre de la convention spécifique avec la DGR et la Cellule environnementale MAEP pour la réalisation des études technico-économiques et environnementales de 425 ha (y compris les études géophysiques et pédologiques) </t>
  </si>
  <si>
    <t>RDFM, RSECC, Chef Projet</t>
  </si>
  <si>
    <t>lot</t>
  </si>
  <si>
    <t>Appui à la mise en œuvre des activités de la composante</t>
  </si>
  <si>
    <t>Signer et mettre en œuvre la convention 2019 avec la DGR pour le suivi des travaux d'aménagements et des infrastructures</t>
  </si>
  <si>
    <t>Organiser les sessions de présélection, de prioration et d'approbation des dossiers de demandes d'appui des bénéficiaires</t>
  </si>
  <si>
    <t>Appuyer la mise en œuvre des 100 plans d'affaires au profit des maraichers</t>
  </si>
  <si>
    <t>Acquérir des kits d'intrants (semences, engrais, produits phytosanitaires, composts) au profit de 1000 producteurs bénéficiaires</t>
  </si>
  <si>
    <t>Acquérir des kits de protection individuelle (cache-nez, gans) et tous outillages d'adaptation aux CC auprès de 1000 bénéficiaires</t>
  </si>
  <si>
    <t>Renforcer les capacités des TSM, FTFM et MR sur les techniques d'animation, esprit entrepreneurial, leadership, dynamique de groupe, gouvernance participative, etc</t>
  </si>
  <si>
    <t>Groupe</t>
  </si>
  <si>
    <t>A2.2.5.2</t>
  </si>
  <si>
    <t>Signer et mettre en œuvre des conventions de partenariat avec les structures (FAST, INE, ABE, ABSSA, DPV, INRAB, 7 DDAEP, 4 ATDA)</t>
  </si>
  <si>
    <t>A.2.2.5.1: Signer et mettre en œuvre des conventions de partenariat avec les structures (FAST, INE, ABE, ABSSA, DPV, INRAB, 7 DDAEP, 4 ATDA)</t>
  </si>
  <si>
    <t>Structures</t>
  </si>
  <si>
    <t>Montants</t>
  </si>
  <si>
    <t>FAST</t>
  </si>
  <si>
    <t>ABE</t>
  </si>
  <si>
    <t>INE</t>
  </si>
  <si>
    <t>ABSSA</t>
  </si>
  <si>
    <t>DPV</t>
  </si>
  <si>
    <t>DDAEP</t>
  </si>
  <si>
    <t>ATDA</t>
  </si>
  <si>
    <t>INRAB</t>
  </si>
  <si>
    <t xml:space="preserve">Assurer l'appui technique du Spécialiste Génie rural et du Chauffeur </t>
  </si>
  <si>
    <t>Assurer le paiement des honoraires du coordonateur</t>
  </si>
  <si>
    <t>A.3.1.1.1: Contribuer au paiement des paiement des honoraires des cadres du ProCaR</t>
  </si>
  <si>
    <t>Assurer le recrutement du personnel complémentaire du PADMAR</t>
  </si>
  <si>
    <t>Assurer la réalisation de l'audit et la maintenance du système de gestion financière et comptable (y compris la revue périodiques des comptes)</t>
  </si>
  <si>
    <t>Assurer l'actualisation du manuel de procédures administrative et financière du ProCaR</t>
  </si>
  <si>
    <t>Acquérir des Ordinateurs  portatifs au profit du personnel complémentaire du ProCaR (Assiatnt Coordonnateur, Secretaire administratif, Assistant URA, Logisticien, FTFM)</t>
  </si>
  <si>
    <t>Acquérir des Mobiliers complémentaires du PADMAR et ProCaR (Bureaux, armoire, tableau d'affichage, climatiseur)</t>
  </si>
  <si>
    <t>Bureaux complets avec fauteuil et 36 chaises visiteurs</t>
  </si>
  <si>
    <t>Climatiseur</t>
  </si>
  <si>
    <t>Assurer l'entretien du matériel roulant, du parc informatique et autres équipements</t>
  </si>
  <si>
    <t xml:space="preserve">Assurer l'entretien des bâtiments et de l'espace vert du ProCaR </t>
  </si>
  <si>
    <t>Appui à la mise en place du Système de S&amp;E du PADMAR/ProCaR (étude socio-économique de référence PADMAR, enquête SYGRI de référence PADMAR, plan SE COSOP, manuel SE des projets):Apurement des engagements de 2018</t>
  </si>
  <si>
    <t xml:space="preserve">Assurer la participation des cadres du ProCaR à des formations sur diverses thématiques sur la base de l'évaluation des besoins </t>
  </si>
  <si>
    <t>Organiser le suivi de la mise en œuvre des activités sur le terrain par la DPP/MAEP et les ANE</t>
  </si>
  <si>
    <t>Organiser le suivi et la vérification des réalisations sur le terrain (y compris saisie périodique des données)</t>
  </si>
  <si>
    <t>A.3.2.4.1</t>
  </si>
  <si>
    <t xml:space="preserve">Réaliser l'étude de référence sur la qualité physico-chimique des sols </t>
  </si>
  <si>
    <t>Elaborer et mettre en œuvre le plan d'éducation nutritionnelle</t>
  </si>
  <si>
    <t>Acquisition smartphones</t>
  </si>
  <si>
    <t>TOTAL GENERAL</t>
  </si>
  <si>
    <t xml:space="preserve">A3.2.7.1: Assurer la mise en place du système de collecte des données à l'aide de smartphone acquis </t>
  </si>
  <si>
    <t>Action 3.2.8: Gestion des savoirs et de communication</t>
  </si>
  <si>
    <t>Elaborer et mettre en oeuvre la stratégie de gestion des savoirs et de la communication</t>
  </si>
  <si>
    <t>Mise en œuvre</t>
  </si>
  <si>
    <t>Assurer l'adhésion des groupes cibles aux activités du projet à travers les 9 radio communautaires</t>
  </si>
  <si>
    <t xml:space="preserve">Imprimer des outils de sensibilisation, formation et vulgarisation des  acteurs des filières sur les contraintes sanitaires liées aux pesticides </t>
  </si>
  <si>
    <t>Assurer la visibilité des sites du PADMAR</t>
  </si>
  <si>
    <t>Salaire du Chauffeur ProCar à prendre en charge par ASAP</t>
  </si>
  <si>
    <t>360,1</t>
  </si>
  <si>
    <t xml:space="preserve">Contractualiser avec des artisans locaux pour la réalisation des puits tubés au niveau des sites maraichers sur 306 ha </t>
  </si>
  <si>
    <t>Kit</t>
  </si>
  <si>
    <t>RDFM, RSECC, Chef Projet, R/URA</t>
  </si>
  <si>
    <t>Acquérir et mettre en place les accessoires d'irrigation en zone peu profonde dotés de puits tubés (1280 motopompes avec accessoires, 340 000 m de tuyauteries avec accessoires et 1808 lots de petit outillage agricole) sur 306 ha</t>
  </si>
  <si>
    <t>Appuyer la DPP en matériel roulant (véhicule 4x4) pour le suivi des activités sur le terrain</t>
  </si>
  <si>
    <t>Appuyer la DGR en matériel roulant (véhicule 4x4) pour le suivi des travaux sur le terrain</t>
  </si>
  <si>
    <t>Acquérir des intrants, produits de traitement et motoculteurs pour la production de semences de base (INRAB)</t>
  </si>
  <si>
    <t>Mettre en place 10 groupes de multiplicateurs de semences (intrants, motoculteurs, etc.) avec l'appui de la DPV et INRAB</t>
  </si>
  <si>
    <t>Mettre en place 5 groupes d'unités de production de compostage périurbain appuyés par l'INRAB</t>
  </si>
  <si>
    <t>Signer et mettre en œuvre une convention avec la CCIB pour l'organisation et la structuration des cateurs en amont et en aval (y compris le DIP) et l'appui à la mise en marché des produits maraichers</t>
  </si>
  <si>
    <t xml:space="preserve">Réaliser l'étude sur l'Identification et caractérisation des flux des produits maraichers </t>
  </si>
  <si>
    <t>Assurer la prestation de gardiennage</t>
  </si>
  <si>
    <t>Acquérir le logiciel TOM MARCHE pour la passation de marchés</t>
  </si>
  <si>
    <t>Assurer le paiement du salaire du Logisticien</t>
  </si>
  <si>
    <t>A 1.3.2.1 Assurer l'appui-coneil des Facilitateurs (TFM) à la structuration des bénéficiaires</t>
  </si>
  <si>
    <t>Appui TSM</t>
  </si>
  <si>
    <t>Appui MR</t>
  </si>
  <si>
    <t>Nombre de mois</t>
  </si>
  <si>
    <t>Nombre de personne concerné</t>
  </si>
  <si>
    <t>Montant par mois pour les 2 catégories</t>
  </si>
  <si>
    <t>Assurer l'appui-Conseil aux maraichers de 27 Technicien spécialisé en Maraichage et de 135 Maraichers Relais</t>
  </si>
  <si>
    <t>A 2.3.2.3 Assurer l'appui-Conseil aux maraichers de 27 Technicien spécialisé en Maraichage et de 135 Maraichers Relais</t>
  </si>
  <si>
    <t>FTFM</t>
  </si>
  <si>
    <t>Frais de mission</t>
  </si>
  <si>
    <r>
      <t xml:space="preserve">A1.2.1.1 </t>
    </r>
    <r>
      <rPr>
        <sz val="11"/>
        <color rgb="FF000000"/>
        <rFont val="Calibri"/>
        <family val="2"/>
        <scheme val="minor"/>
      </rPr>
      <t>Réaliser les études d'impacts environnemental simplifiées relatives à la construction et ou la réhabilitation des infrastructures de groupage, conditionnement et stockage/vente avec un Cabinet/groupement de Cabinets</t>
    </r>
  </si>
  <si>
    <t>Réaliser les études complémentaires du foncier dans les 20 communes restantes par un bureau d'études (Coût d'une commune)</t>
  </si>
  <si>
    <t xml:space="preserve">A2.1.2.7: Contractualiser avec des artisans locaux pour la réalisation des puits tubés au niveau des sites maraichers sur 306 ha </t>
  </si>
  <si>
    <t>A.2.1.2.8 Acquérir et mettre en place les accessoires d'irrigation en zone peu profonde dotés de puits tubés (1280 motopompes avec accessoires, 340 000 m de tuyauteries avec accessoires et 1808 lots de petit outillage agricole) sur 306 ha</t>
  </si>
  <si>
    <t>Organiser les sessions de présélection, de prioration et d'approbation des dossiers de demandes d'appui des bénéficiaires 2 sessions de préselection avec CCSAM, 2 session de priorisation par les cadres et 2 session de comité d'approbation)</t>
  </si>
  <si>
    <t>Session de CCSAM</t>
  </si>
  <si>
    <t>Session de priorisation</t>
  </si>
  <si>
    <t>Session de CTA</t>
  </si>
  <si>
    <t xml:space="preserve">NB </t>
  </si>
  <si>
    <t>Montant pour une session des 3 catégories</t>
  </si>
  <si>
    <t xml:space="preserve">Elaborer et mettre en œuvre le plan d'éducation nutritionnelle
</t>
  </si>
  <si>
    <t>A.3.2.4.2 Réaliser l'étude sur les effets de PADMAR à mi-parcours</t>
  </si>
  <si>
    <t>A.3.2.4.3 Réaliser l'enquête SYGRI PADMAR à mi-parcours</t>
  </si>
  <si>
    <t>Honoraire et perdiems Consultant Sous-régional</t>
  </si>
  <si>
    <t>Formation et enquêtes</t>
  </si>
  <si>
    <t>Ouvrage de stockage eau +énergie</t>
  </si>
  <si>
    <r>
      <t xml:space="preserve">A2.2.3.1: Formation des formateurs (TSM, FTFM, MR) sur l'esprit entreprenarial, sur la dynamique de groupe et les techniques d'animation,  gouvernance participative, leadership avec un l'appui de personnes ressources
</t>
    </r>
    <r>
      <rPr>
        <sz val="11"/>
        <color rgb="FF000000"/>
        <rFont val="Calibri"/>
        <family val="2"/>
        <scheme val="minor"/>
      </rPr>
      <t xml:space="preserve">
</t>
    </r>
    <r>
      <rPr>
        <b/>
        <sz val="11"/>
        <color rgb="FF000000"/>
        <rFont val="Calibri"/>
        <family val="2"/>
        <scheme val="minor"/>
      </rPr>
      <t xml:space="preserve">
</t>
    </r>
  </si>
  <si>
    <t>Forfait mise en œuvre</t>
  </si>
  <si>
    <t>Honoraire consultant et perdiems</t>
  </si>
  <si>
    <t>A.3.1.1.6: Assurer le recrutement du personnel complémentaire du PADMAR</t>
  </si>
  <si>
    <t>Assurer l'organisation des cadres de concertation périodique au ProCaR (revues trimestrielles, CNP)</t>
  </si>
  <si>
    <t xml:space="preserve">A.2.2.6.1: Réaliser l'étude de référence sur la qualité physico-chimique des sols </t>
  </si>
  <si>
    <t>Prestation consultant revue périodique des comptes</t>
  </si>
  <si>
    <t>Prestation consultant maintenance du système de gestion financière et comptable</t>
  </si>
  <si>
    <t xml:space="preserve">Assurer la réalisation de l'audit et la maintenance du système de gestion financière et comptable </t>
  </si>
  <si>
    <t>A3.1.2.2</t>
  </si>
  <si>
    <t>A3.1.2.3</t>
  </si>
  <si>
    <r>
      <t xml:space="preserve">A.3.1.2.4: </t>
    </r>
    <r>
      <rPr>
        <sz val="11"/>
        <color rgb="FF000000"/>
        <rFont val="Calibri"/>
        <family val="2"/>
        <scheme val="minor"/>
      </rPr>
      <t>Assurer l'actualisation du manuel de procédures administrative et financière du ProCaR</t>
    </r>
  </si>
  <si>
    <t>Elaborer la stratégie de sortie du PADMAR</t>
  </si>
  <si>
    <t>Saisie périodique des données</t>
  </si>
  <si>
    <t>A3.2.31</t>
  </si>
  <si>
    <t>A 3.2.8.2</t>
  </si>
  <si>
    <t>A1.1.2.1</t>
  </si>
  <si>
    <t>A.3.1.3.2</t>
  </si>
  <si>
    <t>Pourcentage</t>
  </si>
  <si>
    <t>Prestation consultant pour audit (2 experts)</t>
  </si>
  <si>
    <r>
      <t xml:space="preserve">A 2.2.3.2 Asurer la Formation des formateurs (TSM, FTFM) à la carte  sur des thématiques spécifiques (post récolte, maraichage biologique) avec l'appui du Centre SONGHAI
</t>
    </r>
    <r>
      <rPr>
        <sz val="11"/>
        <color rgb="FF000000"/>
        <rFont val="Calibri"/>
        <family val="2"/>
        <scheme val="minor"/>
      </rPr>
      <t xml:space="preserve">
</t>
    </r>
    <r>
      <rPr>
        <b/>
        <sz val="11"/>
        <color rgb="FF000000"/>
        <rFont val="Calibri"/>
        <family val="2"/>
        <scheme val="minor"/>
      </rPr>
      <t xml:space="preserve">
</t>
    </r>
  </si>
  <si>
    <t>Prestation du centre SONGHAI (implication de 3 formateurs)</t>
  </si>
  <si>
    <t>Prise en charge des TSM, FTFM et MR</t>
  </si>
  <si>
    <t>Organiser une rencontre d'échanges au ProCaR pour établissement de l'état des lieux dans le cadre du système d'information sur les prix des produits maraichers, les intrants, les surplus disponibles, et sur les opportunites d'affaires (Participants potentiels: DIP, DSA, DPP, DDAEP, INSAE, ATDA, PROFI, ProCAD, ProAgri, PAIA-Vo, Coopération Néerlandaise, OP faitières)</t>
  </si>
  <si>
    <t>Réaliser les études complémentaires du foncier dans les 20 communes restantes par des bureaux d'études</t>
  </si>
  <si>
    <t>A2.1.2.10</t>
  </si>
  <si>
    <t>A 2.3.2.1 Assurer l'Assistance Technique Sous-régional et national en appui au PADMAR (1 Assistant Technique sous-régional, 1 Assistant Technique National)</t>
  </si>
  <si>
    <t>Assistance Technique National (10 jours de prestation par mois pendant 4 mois)</t>
  </si>
  <si>
    <t>Assistance Technique Sous-régional (8 jours de prestation par mois pendant 8 mois)</t>
  </si>
  <si>
    <t>Assurer l'Assistance Technique Sous-régional et national en appui au PADMAR (1 Assistant Technique sous-régional et 1 Assistant Technique National)</t>
  </si>
  <si>
    <r>
      <t xml:space="preserve">Asurer la Formation des formateurs (TSM, FTFM) à la carte  sur des thématiques spécifiques (post récolte, maraichage biologique) avec l'appui du </t>
    </r>
    <r>
      <rPr>
        <b/>
        <sz val="11"/>
        <rFont val="Calibri"/>
        <family val="2"/>
        <scheme val="minor"/>
      </rPr>
      <t>Centre SONGHAI</t>
    </r>
  </si>
  <si>
    <t>Assurer le paiement des honoraires du Responsable genre, jeune et ciblage</t>
  </si>
  <si>
    <t>Assurer le paiement des honoraires du Responsable gestion des savoirs, communication</t>
  </si>
  <si>
    <t>Contribuer au paiement des honoraires des cadres du ProCaR: 10 cadres (coordonateur, Assistant du coordinateur, Responsable administratif et financier, Responsable suivi &amp;évaluation, Responsable passation des marchés, Responsable gestion des savoirs, communication, Responsable genre, jeune et ciblage, Assistant de Direction, Assistant Administratif, Logisticien)</t>
  </si>
  <si>
    <t>Assurer le paiement des honoraires de la Responsable développement de la filière maraichage</t>
  </si>
  <si>
    <t>Assurer le paiement des honoraires des cadres du PADMAR: 7 cadres (Chef projet, Responsable développement de la filière maraichage, Chargé suivi&amp;évaluation, comptable, Responsable URA-Sud, Comptable URA, Assistant passation Marchés</t>
  </si>
  <si>
    <t>Assurer le paiement des honoraires de la Responsable du suivi environnemental et Changement climatique (5ans)</t>
  </si>
  <si>
    <t>Assurer le paiement des honoraires des cadres du PADMAR et salaire chauffeurs sous financement ASAP: 2 cadres (Responsable du suivi environnemental et Changement climatique et son Assistante) et 1 chauffeur</t>
  </si>
  <si>
    <t xml:space="preserve">Assurer le paiement du Salaire des chauffeurs du PADMAR (02) et ProCaR (03) </t>
  </si>
  <si>
    <t>Elaborer le PTBA 2020 du PADMAR (processus accendant: 1 rencontre au niveau de chaque commune, 1 rencontre au niveau de chaque pôle et 1 rencontre national de finalisation)</t>
  </si>
  <si>
    <t>Honoraires du formateur</t>
  </si>
  <si>
    <t>Atelier de formation</t>
  </si>
  <si>
    <t>Déplacement des participants</t>
  </si>
  <si>
    <t>A 3.2.5.1: Organiser la formation du personnel du Projet, des points focaux des structures partenaires et des acteurs de mise œuvre sur le genre</t>
  </si>
  <si>
    <t>Organiser la formation du personnel du Projet, des points focaux des structures partenaires et des acteurs de mise œuvre sur le genre (3 sessions de formation par un Consultant)</t>
  </si>
  <si>
    <t>Session</t>
  </si>
  <si>
    <t xml:space="preserve">A 3.2.5.2: Analyser le positionnement des femmes et des jeunes dans les maillons de la filière maraichage dans la ZIP </t>
  </si>
  <si>
    <t>Honoraires du Consultant principal</t>
  </si>
  <si>
    <t>Honoraires du Consultant associé</t>
  </si>
  <si>
    <t>Analyser le positionnement des femmes et des jeunes dans les maillons de la filière maraichage dans la ZIP (prestation de 2 consultant: sociologue et un agronome)</t>
  </si>
  <si>
    <t>Test de l'outil</t>
  </si>
  <si>
    <t>Appuyer la DPP dans le cadre du renforcement du système de S&amp;E du MAEP (appui à l'orgaisation de la revue du secteur agricole et à l'organisation de rencontre allant dans le cadre de la finalisation du système de suivi-évaluation du secteur)</t>
  </si>
  <si>
    <t>Assurer la mise en place du système de collecte des données à l'aide de smartphone acquis (élaboration des fiches d’enquêtes , achat de 30 smartphones, implémentation sur les smartphones, test en milieu réel)</t>
  </si>
  <si>
    <t>Conception (d’élaboration des fiches d’enquêtes )</t>
  </si>
  <si>
    <t>honoraire.équipe</t>
  </si>
  <si>
    <t>Contribuer au paiement du salaire du coordonateur et du Responsable administratif et financier</t>
  </si>
  <si>
    <t>Salaire.équipe</t>
  </si>
  <si>
    <t>Validation</t>
  </si>
  <si>
    <t>Forfait logistique (perdiems, location salle, déplacement)</t>
  </si>
  <si>
    <t>Atelier</t>
  </si>
  <si>
    <t>Organiser la validation nationale de l'étude sur le positionnement des femmes et des jeunes dans les maillons de la filière maraichage dans la ZIP</t>
  </si>
  <si>
    <t xml:space="preserve">Organiser la mission de supervision du PADMAR </t>
  </si>
  <si>
    <t>Elaborer la stratégie de gestion des savoirs et de communication</t>
  </si>
  <si>
    <t>Mettre en œuvre les actions issues de la stratégie de gestion des savoirs et de communication</t>
  </si>
  <si>
    <t>Elaborer le plan de renforcement de capacités du personnel du ProCaR</t>
  </si>
  <si>
    <t>A.3.2.2.2</t>
  </si>
  <si>
    <t>A2.1.2.11</t>
  </si>
  <si>
    <t>A1.1.1.3</t>
  </si>
  <si>
    <t xml:space="preserve">Assurer le suivi-évaluation et l'assurance qualité de la gestion financière de la convention avec la PNOPPA par deux Cabinets </t>
  </si>
  <si>
    <t>Horaire.cabinets</t>
  </si>
  <si>
    <t>A 3.2.2.2: Elaborer le plan de renforcement de capacités du personnel du ProCaR</t>
  </si>
  <si>
    <t xml:space="preserve">Honoraire consultant </t>
  </si>
  <si>
    <t>A.3.1.1.7</t>
  </si>
  <si>
    <t>A2.3.1.1</t>
  </si>
  <si>
    <t>A.3.2.5.3</t>
  </si>
  <si>
    <r>
      <t>Elaborer/actualiser les plans d'affaires/plans d'investissement avec l'appui de la Fondation de l'Université d'Abomey-Calavi (FUAC)/ et la coopérative Solidarité Entreprises Nord Sud (</t>
    </r>
    <r>
      <rPr>
        <i/>
        <sz val="11"/>
        <color theme="1"/>
        <rFont val="Calibri"/>
        <family val="2"/>
        <scheme val="minor"/>
      </rPr>
      <t>SenS)</t>
    </r>
  </si>
  <si>
    <t xml:space="preserve">Organiser l'évaluation interne des conventions </t>
  </si>
  <si>
    <t>Appui d'un facilitateur</t>
  </si>
  <si>
    <t>Atelier de travail de l'équipe</t>
  </si>
  <si>
    <t>Analyser les effets de PADMAR à mi-parcours par l'équipe du projet</t>
  </si>
  <si>
    <t>Elaborer la stratégie de sortie du projet par l'équipe du projet</t>
  </si>
  <si>
    <t>Réaliser l'enquête SYGRI PADMAR à mi-parcours avec l'appui d'un Consultant</t>
  </si>
  <si>
    <t>A.3.2.5.4</t>
  </si>
  <si>
    <t>Honoraire</t>
  </si>
  <si>
    <t>Sous total</t>
  </si>
  <si>
    <t>Frais de mission formateur</t>
  </si>
  <si>
    <t>Organiser la formation du personnel du Projet, des points focaux des structures partenaires et des acteurs de mise œuvre sur le genre (Prestation du Consultant)</t>
  </si>
  <si>
    <t>Sous-activité 6: Acquisition/installation serveur et sécurisation fibre optique (Contribution du PADMAR)</t>
  </si>
  <si>
    <t>A 3.1.4.1: Acquérir des Ordinateurs  portatifs au profit du personnel complémentaire du ProCaR (Assiatnt Coordonnateur, Secretaire administratif, Assistant URA, Logisticien, 2 FTFM)</t>
  </si>
  <si>
    <t>A2.1.2.12</t>
  </si>
  <si>
    <r>
      <t xml:space="preserve">Réaliser les études technico-économiques, environnementales  </t>
    </r>
    <r>
      <rPr>
        <b/>
        <sz val="11"/>
        <rFont val="Calibri"/>
        <family val="2"/>
        <scheme val="minor"/>
      </rPr>
      <t xml:space="preserve">et les travaux </t>
    </r>
    <r>
      <rPr>
        <sz val="11"/>
        <rFont val="Calibri"/>
        <family val="2"/>
        <scheme val="minor"/>
      </rPr>
      <t>de 550 ha dans la zone profonde (Etude en 2019): Montant de 115 775 000F CFA)</t>
    </r>
  </si>
  <si>
    <r>
      <t xml:space="preserve">Réaliser les études technico-économiques, environnementales </t>
    </r>
    <r>
      <rPr>
        <b/>
        <sz val="11"/>
        <rFont val="Calibri"/>
        <family val="2"/>
        <scheme val="minor"/>
      </rPr>
      <t>et les travaux</t>
    </r>
    <r>
      <rPr>
        <sz val="11"/>
        <rFont val="Calibri"/>
        <family val="2"/>
        <scheme val="minor"/>
      </rPr>
      <t xml:space="preserve"> de 877 ha dans la zone peu profonde (Etude en 2019): Montant total de 92 085 000F CFA</t>
    </r>
  </si>
  <si>
    <r>
      <t xml:space="preserve">Réaliser les études technico-économiques, environnementales </t>
    </r>
    <r>
      <rPr>
        <b/>
        <sz val="11"/>
        <rFont val="Calibri"/>
        <family val="2"/>
        <scheme val="minor"/>
      </rPr>
      <t>et les travaux</t>
    </r>
    <r>
      <rPr>
        <sz val="11"/>
        <rFont val="Calibri"/>
        <family val="2"/>
        <scheme val="minor"/>
      </rPr>
      <t xml:space="preserve"> de 550 ha dans la zone intermédiaire (Etude en 2019): Montant total de 115 775 000 FCFA</t>
    </r>
  </si>
  <si>
    <t>Réaliser des travaux d'aménagement en zone peu profonde de 200 ha issus des résulats des études avec la DGR: Montant total de 350 000 000FCFA</t>
  </si>
  <si>
    <t>Réaliser des travaux d'aménagement en zone intermédiaire de 200 ha issus des résulats des études avec la DGR: Montant total de 701 200 000FCFA</t>
  </si>
  <si>
    <r>
      <t xml:space="preserve">Réaliser </t>
    </r>
    <r>
      <rPr>
        <b/>
        <sz val="11"/>
        <rFont val="Calibri"/>
        <family val="2"/>
        <scheme val="minor"/>
      </rPr>
      <t>le contrôle des travaux</t>
    </r>
    <r>
      <rPr>
        <sz val="11"/>
        <rFont val="Calibri"/>
        <family val="2"/>
        <scheme val="minor"/>
      </rPr>
      <t xml:space="preserve"> d'aménagement de 200 ha dans la zone peu profonde: Montant total 14 000 000 FCFA</t>
    </r>
  </si>
  <si>
    <r>
      <t xml:space="preserve">Réaliser </t>
    </r>
    <r>
      <rPr>
        <b/>
        <sz val="11"/>
        <rFont val="Calibri"/>
        <family val="2"/>
        <scheme val="minor"/>
      </rPr>
      <t>le contrôle des travaux</t>
    </r>
    <r>
      <rPr>
        <sz val="11"/>
        <rFont val="Calibri"/>
        <family val="2"/>
        <scheme val="minor"/>
      </rPr>
      <t xml:space="preserve"> d'aménagement de 200 ha dans la zone intermédiaire: Montant total 28 100 000FCFA</t>
    </r>
  </si>
  <si>
    <t>Recrutement de cabinets pour réaliser les études technico-économique, sociale et environnemental et le contrôle de 120 Km  de piste rurales dans la zone d'intervention du PADMAR (uniquement étude en 2019): Montant total 210 360 000FCFA</t>
  </si>
  <si>
    <t>Assurer l'appui-conseil des Facilitateurs (TFM) à la structuration des bénéficiaires</t>
  </si>
  <si>
    <t>Organiser l'évaluation interne des radios communautaires avec l'appui d'un Consultant</t>
  </si>
  <si>
    <t>Forfait mission collecte données auprès radios</t>
  </si>
  <si>
    <t>Forfait atelier de partage des résultats</t>
  </si>
  <si>
    <t>Réaliser la construction de 1 hangar de 16 compartiments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</si>
</sst>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 _€_-;\-* #,##0\ _€_-;_-* &quot;-&quot;\ _€_-;_-@_-"/>
    <numFmt numFmtId="43" formatCode="_-* #,##0.00\ _€_-;\-* #,##0.00\ _€_-;_-* &quot;-&quot;??\ _€_-;_-@_-"/>
    <numFmt numFmtId="164" formatCode="_(* #,##0.00_);_(* \(#,##0.00\);_(* &quot;-&quot;??_);_(@_)"/>
    <numFmt numFmtId="165" formatCode="_-* #,##0\ _€_-;\-* #,##0\ _€_-;_-* &quot;-&quot;??\ _€_-;_-@_-"/>
    <numFmt numFmtId="166" formatCode="_(* #,##0.0_);_(* \(#,##0.0\);_(* &quot;-&quot;?_);_(@_)"/>
    <numFmt numFmtId="167" formatCode="#,##0.0"/>
    <numFmt numFmtId="168" formatCode="_-* #,##0.0\ _€_-;\-* #,##0.0\ _€_-;_-* &quot;-&quot;??\ _€_-;_-@_-"/>
    <numFmt numFmtId="169" formatCode="_(* #,##0.000_);_(* \(#,##0.000\);_(* &quot;-&quot;?_);_(@_)"/>
    <numFmt numFmtId="170" formatCode="#,##0&quot; FCFA &quot;"/>
    <numFmt numFmtId="171" formatCode="#,##0&quot; USD &quot;"/>
    <numFmt numFmtId="172" formatCode="_-* #,##0.0\ _€_-;\-* #,##0.0\ _€_-;_-* &quot;-&quot;?\ _€_-;_-@_-"/>
    <numFmt numFmtId="173" formatCode="_-* #,##0.0000\ _€_-;\-* #,##0.0000\ _€_-;_-* &quot;-&quot;??\ _€_-;_-@_-"/>
    <numFmt numFmtId="174" formatCode="_(* #,##0_);_(* \(#,##0\);_(* &quot;-&quot;?_);_(@_)"/>
    <numFmt numFmtId="175" formatCode="#,##0;\-#,##0;\-"/>
    <numFmt numFmtId="176" formatCode="_(* #,##0.00_);_(* \(#,##0.00\);_(* &quot;-&quot;?_);_(@_)"/>
    <numFmt numFmtId="177" formatCode="_-* #,##0.00\ _€_-;\-* #,##0.00\ _€_-;_-* &quot;-&quot;?\ _€_-;_-@_-"/>
    <numFmt numFmtId="178" formatCode="0.0%"/>
  </numFmts>
  <fonts count="43"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Bookman Old Style"/>
      <family val="1"/>
    </font>
    <font>
      <sz val="11"/>
      <color indexed="8"/>
      <name val="Calibri"/>
      <family val="2"/>
    </font>
    <font>
      <sz val="10"/>
      <name val="Arial"/>
      <family val="2"/>
    </font>
    <font>
      <b/>
      <sz val="10"/>
      <name val="Bookman Old Style"/>
      <family val="1"/>
    </font>
    <font>
      <b/>
      <sz val="9"/>
      <color indexed="81"/>
      <name val="Tahoma"/>
      <family val="2"/>
    </font>
    <font>
      <sz val="9"/>
      <color indexed="81"/>
      <name val="Tahoma"/>
      <family val="2"/>
    </font>
    <font>
      <sz val="10"/>
      <color theme="1"/>
      <name val="Bookman Old Style"/>
      <family val="1"/>
    </font>
    <font>
      <b/>
      <sz val="10"/>
      <name val="Arial"/>
      <family val="2"/>
    </font>
    <font>
      <b/>
      <sz val="11"/>
      <color theme="1"/>
      <name val="Calibri"/>
      <family val="2"/>
      <scheme val="minor"/>
    </font>
    <font>
      <b/>
      <sz val="11"/>
      <color theme="1"/>
      <name val="Bookman Old Style"/>
      <family val="1"/>
    </font>
    <font>
      <sz val="10"/>
      <color theme="1"/>
      <name val="Calibri"/>
      <family val="2"/>
      <scheme val="minor"/>
    </font>
    <font>
      <b/>
      <sz val="12"/>
      <color theme="1"/>
      <name val="Calibri"/>
      <family val="2"/>
      <scheme val="minor"/>
    </font>
    <font>
      <sz val="12"/>
      <color theme="1"/>
      <name val="Calibri"/>
      <family val="2"/>
      <scheme val="minor"/>
    </font>
    <font>
      <sz val="12"/>
      <color indexed="8"/>
      <name val="Calibri"/>
      <family val="2"/>
      <scheme val="minor"/>
    </font>
    <font>
      <sz val="12"/>
      <color rgb="FF000000"/>
      <name val="Calibri"/>
      <family val="2"/>
      <scheme val="minor"/>
    </font>
    <font>
      <b/>
      <sz val="12"/>
      <name val="Calibri"/>
      <family val="2"/>
      <scheme val="minor"/>
    </font>
    <font>
      <sz val="11"/>
      <color rgb="FFFF0000"/>
      <name val="Calibri"/>
      <family val="2"/>
      <scheme val="minor"/>
    </font>
    <font>
      <b/>
      <sz val="11"/>
      <name val="Calibri"/>
      <family val="2"/>
      <scheme val="minor"/>
    </font>
    <font>
      <sz val="11"/>
      <name val="Calibri"/>
      <family val="2"/>
      <scheme val="minor"/>
    </font>
    <font>
      <b/>
      <sz val="14"/>
      <color theme="1"/>
      <name val="Calibri"/>
      <family val="2"/>
      <scheme val="minor"/>
    </font>
    <font>
      <sz val="11"/>
      <color theme="5"/>
      <name val="Calibri"/>
      <family val="2"/>
      <scheme val="minor"/>
    </font>
    <font>
      <b/>
      <sz val="14"/>
      <name val="Calibri"/>
      <family val="2"/>
      <scheme val="minor"/>
    </font>
    <font>
      <b/>
      <sz val="11"/>
      <color rgb="FF000000"/>
      <name val="Calibri"/>
      <family val="2"/>
      <scheme val="minor"/>
    </font>
    <font>
      <sz val="11"/>
      <color rgb="FF000000"/>
      <name val="Calibri"/>
      <family val="2"/>
      <scheme val="minor"/>
    </font>
    <font>
      <b/>
      <u/>
      <sz val="10"/>
      <color theme="1"/>
      <name val="Arial"/>
      <family val="2"/>
    </font>
    <font>
      <sz val="8"/>
      <color theme="1"/>
      <name val="Arial"/>
      <family val="2"/>
    </font>
    <font>
      <sz val="8"/>
      <name val="Arial"/>
      <family val="2"/>
    </font>
    <font>
      <b/>
      <u/>
      <sz val="11"/>
      <name val="Calibri"/>
      <family val="2"/>
      <scheme val="minor"/>
    </font>
    <font>
      <sz val="10"/>
      <name val="Calibri"/>
      <family val="2"/>
      <scheme val="minor"/>
    </font>
    <font>
      <sz val="9"/>
      <color theme="1"/>
      <name val="Calibri"/>
      <family val="2"/>
      <scheme val="minor"/>
    </font>
    <font>
      <i/>
      <sz val="11"/>
      <color theme="1"/>
      <name val="Calibri"/>
      <family val="2"/>
      <scheme val="minor"/>
    </font>
    <font>
      <u/>
      <sz val="11"/>
      <color theme="1"/>
      <name val="Calibri"/>
      <family val="2"/>
      <scheme val="minor"/>
    </font>
    <font>
      <b/>
      <sz val="11"/>
      <name val="Arial"/>
      <family val="2"/>
    </font>
    <font>
      <sz val="11"/>
      <name val="Arial"/>
      <family val="2"/>
    </font>
    <font>
      <b/>
      <sz val="11"/>
      <color rgb="FFFF0000"/>
      <name val="Calibri"/>
      <family val="2"/>
      <scheme val="minor"/>
    </font>
    <font>
      <sz val="11"/>
      <color rgb="FF222222"/>
      <name val="Calibri"/>
      <family val="2"/>
      <scheme val="minor"/>
    </font>
    <font>
      <b/>
      <sz val="9"/>
      <color theme="1"/>
      <name val="Calibri"/>
      <family val="2"/>
      <scheme val="minor"/>
    </font>
    <font>
      <sz val="9"/>
      <color indexed="8"/>
      <name val="Calibri"/>
      <family val="2"/>
      <scheme val="minor"/>
    </font>
    <font>
      <sz val="11"/>
      <color indexed="8"/>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indexed="41"/>
        <bgColor indexed="64"/>
      </patternFill>
    </fill>
    <fill>
      <patternFill patternType="solid">
        <fgColor theme="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dotted">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6" fillId="0" borderId="0"/>
    <xf numFmtId="43" fontId="6" fillId="0" borderId="0" applyFont="0" applyFill="0" applyBorder="0" applyAlignment="0" applyProtection="0"/>
  </cellStyleXfs>
  <cellXfs count="822">
    <xf numFmtId="0" fontId="0" fillId="0" borderId="0" xfId="0"/>
    <xf numFmtId="0" fontId="2" fillId="0" borderId="0" xfId="0" applyFont="1" applyBorder="1"/>
    <xf numFmtId="0" fontId="3" fillId="0" borderId="0" xfId="0" applyFont="1" applyAlignment="1">
      <alignment horizontal="center" vertical="top"/>
    </xf>
    <xf numFmtId="0" fontId="2" fillId="0" borderId="0" xfId="0" applyFont="1"/>
    <xf numFmtId="0" fontId="4" fillId="0" borderId="0" xfId="0" applyFont="1" applyFill="1"/>
    <xf numFmtId="0" fontId="4" fillId="0" borderId="0" xfId="0" applyFont="1"/>
    <xf numFmtId="0" fontId="3" fillId="0" borderId="0" xfId="0" applyFont="1" applyBorder="1" applyAlignment="1">
      <alignment horizontal="left" vertical="top"/>
    </xf>
    <xf numFmtId="0" fontId="3" fillId="0" borderId="0" xfId="0" applyFont="1" applyBorder="1" applyAlignment="1">
      <alignment horizontal="center"/>
    </xf>
    <xf numFmtId="165" fontId="3" fillId="0" borderId="0" xfId="1" applyNumberFormat="1" applyFont="1" applyBorder="1" applyAlignment="1">
      <alignment horizontal="center"/>
    </xf>
    <xf numFmtId="165" fontId="3" fillId="0" borderId="0" xfId="1" applyNumberFormat="1" applyFont="1" applyBorder="1" applyAlignment="1"/>
    <xf numFmtId="0" fontId="3" fillId="0" borderId="0" xfId="0" applyFont="1" applyBorder="1" applyAlignment="1"/>
    <xf numFmtId="0" fontId="3" fillId="0" borderId="0" xfId="0" applyFont="1" applyBorder="1" applyAlignment="1">
      <alignment horizontal="center" vertical="center"/>
    </xf>
    <xf numFmtId="0" fontId="2" fillId="0" borderId="0" xfId="0" applyFont="1" applyBorder="1" applyAlignment="1">
      <alignment horizontal="center"/>
    </xf>
    <xf numFmtId="0" fontId="3" fillId="0" borderId="0" xfId="0" applyFont="1" applyAlignment="1">
      <alignment horizontal="center" vertical="center"/>
    </xf>
    <xf numFmtId="0" fontId="2" fillId="0" borderId="0" xfId="0" applyFont="1" applyFill="1" applyBorder="1"/>
    <xf numFmtId="0" fontId="4" fillId="0" borderId="0" xfId="0" applyFont="1" applyFill="1" applyBorder="1" applyAlignment="1">
      <alignment horizontal="left" vertical="top" wrapText="1"/>
    </xf>
    <xf numFmtId="1"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166" fontId="2" fillId="0" borderId="1" xfId="1" applyNumberFormat="1" applyFont="1" applyFill="1" applyBorder="1" applyAlignment="1">
      <alignment vertical="center"/>
    </xf>
    <xf numFmtId="9" fontId="2" fillId="0" borderId="1" xfId="3" applyFont="1" applyFill="1" applyBorder="1" applyAlignment="1">
      <alignment vertical="center"/>
    </xf>
    <xf numFmtId="1"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41" fontId="2" fillId="0" borderId="1" xfId="0" applyNumberFormat="1"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1" applyNumberFormat="1" applyFont="1" applyFill="1" applyBorder="1" applyAlignment="1">
      <alignment horizontal="center" vertical="center"/>
    </xf>
    <xf numFmtId="166" fontId="2" fillId="0" borderId="1" xfId="5" applyNumberFormat="1" applyFont="1" applyFill="1" applyBorder="1" applyAlignment="1">
      <alignment vertical="center"/>
    </xf>
    <xf numFmtId="43" fontId="2" fillId="0" borderId="1" xfId="5" applyFont="1" applyFill="1" applyBorder="1" applyAlignment="1">
      <alignment vertical="center"/>
    </xf>
    <xf numFmtId="43" fontId="2" fillId="0" borderId="1" xfId="1"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2" fillId="0" borderId="0" xfId="0" applyFont="1" applyAlignment="1">
      <alignment horizontal="left" vertical="top"/>
    </xf>
    <xf numFmtId="0" fontId="2" fillId="0" borderId="0" xfId="0" applyFont="1" applyAlignment="1">
      <alignment horizontal="center"/>
    </xf>
    <xf numFmtId="165" fontId="2" fillId="0" borderId="0" xfId="1" applyNumberFormat="1" applyFont="1" applyAlignment="1">
      <alignment horizontal="center"/>
    </xf>
    <xf numFmtId="165" fontId="2" fillId="0" borderId="0" xfId="1" applyNumberFormat="1" applyFont="1"/>
    <xf numFmtId="41" fontId="2" fillId="0" borderId="0" xfId="0" applyNumberFormat="1" applyFont="1"/>
    <xf numFmtId="41" fontId="2" fillId="0" borderId="0" xfId="0" applyNumberFormat="1" applyFont="1" applyAlignment="1">
      <alignment horizontal="center" vertical="center"/>
    </xf>
    <xf numFmtId="41" fontId="2" fillId="0" borderId="0" xfId="0" applyNumberFormat="1" applyFont="1" applyAlignment="1">
      <alignment horizontal="center"/>
    </xf>
    <xf numFmtId="41" fontId="2" fillId="0" borderId="0" xfId="0" applyNumberFormat="1" applyFont="1" applyFill="1" applyAlignment="1">
      <alignment horizontal="center" vertical="center"/>
    </xf>
    <xf numFmtId="0" fontId="6" fillId="0" borderId="1" xfId="0" applyFont="1" applyFill="1" applyBorder="1" applyAlignment="1">
      <alignment horizontal="center" vertical="center" wrapText="1"/>
    </xf>
    <xf numFmtId="9" fontId="6" fillId="0" borderId="1" xfId="3" applyFont="1" applyFill="1" applyBorder="1" applyAlignment="1">
      <alignment vertical="center"/>
    </xf>
    <xf numFmtId="166" fontId="6" fillId="0" borderId="1" xfId="1" applyNumberFormat="1" applyFont="1" applyFill="1" applyBorder="1" applyAlignment="1">
      <alignment vertical="center"/>
    </xf>
    <xf numFmtId="1" fontId="6" fillId="0" borderId="1" xfId="0" applyNumberFormat="1" applyFont="1" applyFill="1" applyBorder="1" applyAlignment="1">
      <alignment horizontal="center" vertical="center"/>
    </xf>
    <xf numFmtId="166" fontId="6" fillId="0" borderId="1" xfId="1" applyNumberFormat="1" applyFont="1" applyFill="1" applyBorder="1" applyAlignment="1">
      <alignment vertical="center" wrapText="1"/>
    </xf>
    <xf numFmtId="0" fontId="6" fillId="0" borderId="0" xfId="0" applyFont="1" applyBorder="1"/>
    <xf numFmtId="0" fontId="11" fillId="0" borderId="0" xfId="0" applyFont="1" applyAlignment="1">
      <alignment horizontal="center" vertical="top"/>
    </xf>
    <xf numFmtId="0" fontId="6" fillId="0" borderId="0" xfId="0" applyFont="1"/>
    <xf numFmtId="0" fontId="11" fillId="0" borderId="0" xfId="0" applyFont="1" applyBorder="1" applyAlignment="1">
      <alignment horizontal="left" vertical="top"/>
    </xf>
    <xf numFmtId="0" fontId="11" fillId="0" borderId="0" xfId="0" applyFont="1" applyBorder="1" applyAlignment="1">
      <alignment horizontal="center"/>
    </xf>
    <xf numFmtId="165" fontId="11" fillId="0" borderId="0" xfId="1" applyNumberFormat="1" applyFont="1" applyBorder="1" applyAlignment="1">
      <alignment horizontal="center"/>
    </xf>
    <xf numFmtId="165" fontId="11" fillId="0" borderId="0" xfId="1" applyNumberFormat="1" applyFont="1" applyBorder="1" applyAlignment="1"/>
    <xf numFmtId="0" fontId="11" fillId="0" borderId="0" xfId="0" applyFont="1" applyBorder="1" applyAlignment="1"/>
    <xf numFmtId="0" fontId="11" fillId="0" borderId="0" xfId="0" applyFont="1" applyBorder="1" applyAlignment="1">
      <alignment horizontal="center" vertical="center"/>
    </xf>
    <xf numFmtId="0" fontId="6" fillId="0" borderId="0" xfId="0" applyFont="1" applyBorder="1" applyAlignment="1">
      <alignment horizontal="center"/>
    </xf>
    <xf numFmtId="0" fontId="11" fillId="0" borderId="0" xfId="0" applyFont="1" applyAlignment="1">
      <alignment horizontal="center" vertical="center"/>
    </xf>
    <xf numFmtId="0" fontId="6" fillId="0" borderId="0" xfId="0" applyFont="1" applyFill="1" applyBorder="1"/>
    <xf numFmtId="1" fontId="6" fillId="0" borderId="1" xfId="0" applyNumberFormat="1" applyFont="1" applyFill="1" applyBorder="1" applyAlignment="1">
      <alignment horizontal="center" vertical="center" wrapText="1"/>
    </xf>
    <xf numFmtId="0" fontId="6" fillId="0" borderId="0" xfId="0" applyFont="1" applyAlignment="1">
      <alignment horizontal="left" vertical="top"/>
    </xf>
    <xf numFmtId="0" fontId="6" fillId="0" borderId="0" xfId="0" applyFont="1" applyAlignment="1">
      <alignment horizontal="center"/>
    </xf>
    <xf numFmtId="165" fontId="6" fillId="0" borderId="0" xfId="1" applyNumberFormat="1" applyFont="1" applyAlignment="1">
      <alignment horizontal="center"/>
    </xf>
    <xf numFmtId="165" fontId="6" fillId="0" borderId="0" xfId="1" applyNumberFormat="1" applyFont="1"/>
    <xf numFmtId="41" fontId="6" fillId="0" borderId="0" xfId="0" applyNumberFormat="1" applyFont="1"/>
    <xf numFmtId="41" fontId="6" fillId="0" borderId="0" xfId="0" applyNumberFormat="1" applyFont="1" applyAlignment="1">
      <alignment horizontal="center" vertical="center"/>
    </xf>
    <xf numFmtId="41" fontId="6" fillId="0" borderId="0" xfId="0" applyNumberFormat="1" applyFont="1" applyAlignment="1">
      <alignment horizontal="center"/>
    </xf>
    <xf numFmtId="41" fontId="6" fillId="0" borderId="0" xfId="0" applyNumberFormat="1" applyFont="1" applyFill="1" applyAlignment="1">
      <alignment horizontal="center" vertical="center"/>
    </xf>
    <xf numFmtId="0" fontId="10" fillId="0" borderId="0" xfId="0" applyFont="1" applyFill="1" applyBorder="1" applyAlignment="1">
      <alignment horizontal="left" vertical="top" wrapText="1"/>
    </xf>
    <xf numFmtId="41" fontId="3" fillId="0" borderId="1" xfId="0" applyNumberFormat="1" applyFont="1" applyFill="1" applyBorder="1" applyAlignment="1">
      <alignment horizontal="center" vertical="center"/>
    </xf>
    <xf numFmtId="0" fontId="0" fillId="5" borderId="0" xfId="0" applyFill="1"/>
    <xf numFmtId="170" fontId="0" fillId="5" borderId="0" xfId="0" applyNumberFormat="1" applyFill="1"/>
    <xf numFmtId="171" fontId="0" fillId="5" borderId="0" xfId="0" applyNumberFormat="1" applyFill="1"/>
    <xf numFmtId="172" fontId="0" fillId="0" borderId="0" xfId="0" applyNumberFormat="1"/>
    <xf numFmtId="165" fontId="6" fillId="0" borderId="0" xfId="1" applyNumberFormat="1" applyFont="1" applyFill="1" applyBorder="1" applyAlignment="1">
      <alignment horizontal="center" vertical="center"/>
    </xf>
    <xf numFmtId="0" fontId="14" fillId="0" borderId="0" xfId="0" applyFont="1"/>
    <xf numFmtId="165" fontId="0" fillId="0" borderId="0" xfId="0" applyNumberFormat="1"/>
    <xf numFmtId="0" fontId="16" fillId="0" borderId="19" xfId="0" applyFont="1" applyBorder="1" applyAlignment="1">
      <alignment vertical="center" wrapText="1"/>
    </xf>
    <xf numFmtId="43" fontId="17" fillId="0" borderId="1" xfId="1" applyNumberFormat="1" applyFont="1" applyFill="1" applyBorder="1" applyAlignment="1">
      <alignment horizontal="center" vertical="center"/>
    </xf>
    <xf numFmtId="43" fontId="18" fillId="0" borderId="1" xfId="1" applyNumberFormat="1" applyFont="1" applyFill="1" applyBorder="1" applyAlignment="1">
      <alignment horizontal="center" vertical="center"/>
    </xf>
    <xf numFmtId="43" fontId="16" fillId="0" borderId="18" xfId="1" applyNumberFormat="1" applyFont="1" applyBorder="1" applyAlignment="1">
      <alignment horizontal="center" vertical="center"/>
    </xf>
    <xf numFmtId="0" fontId="15" fillId="0" borderId="13" xfId="0" applyFont="1" applyFill="1" applyBorder="1" applyAlignment="1">
      <alignment vertical="center" wrapText="1"/>
    </xf>
    <xf numFmtId="43" fontId="15" fillId="0" borderId="1" xfId="1" applyNumberFormat="1" applyFont="1" applyBorder="1" applyAlignment="1">
      <alignment vertical="center" wrapText="1"/>
    </xf>
    <xf numFmtId="0" fontId="15" fillId="0" borderId="1" xfId="0" applyFont="1" applyBorder="1" applyAlignment="1">
      <alignment horizontal="center" vertical="center"/>
    </xf>
    <xf numFmtId="173" fontId="16" fillId="0" borderId="0" xfId="0" applyNumberFormat="1" applyFont="1"/>
    <xf numFmtId="43" fontId="19" fillId="6" borderId="4" xfId="1" applyNumberFormat="1" applyFont="1" applyFill="1" applyBorder="1" applyAlignment="1">
      <alignment horizontal="center" vertical="center" wrapText="1"/>
    </xf>
    <xf numFmtId="43" fontId="15" fillId="6" borderId="6" xfId="0" applyNumberFormat="1" applyFont="1" applyFill="1" applyBorder="1" applyAlignment="1">
      <alignment horizontal="center" vertical="center" wrapText="1"/>
    </xf>
    <xf numFmtId="0" fontId="0" fillId="0" borderId="1" xfId="0" applyBorder="1"/>
    <xf numFmtId="2" fontId="0" fillId="0" borderId="1" xfId="0" applyNumberFormat="1" applyBorder="1"/>
    <xf numFmtId="0" fontId="12" fillId="0" borderId="1" xfId="0" applyFont="1" applyBorder="1" applyAlignment="1">
      <alignment wrapText="1"/>
    </xf>
    <xf numFmtId="0" fontId="12" fillId="0" borderId="1" xfId="0" applyFont="1" applyBorder="1" applyAlignment="1">
      <alignment horizontal="center" wrapText="1"/>
    </xf>
    <xf numFmtId="0" fontId="22" fillId="0" borderId="0" xfId="0" applyFont="1" applyFill="1"/>
    <xf numFmtId="165" fontId="21" fillId="2" borderId="1" xfId="1" applyNumberFormat="1" applyFont="1" applyFill="1" applyBorder="1" applyAlignment="1">
      <alignment horizontal="center" vertical="center" wrapText="1"/>
    </xf>
    <xf numFmtId="41" fontId="21" fillId="2" borderId="1" xfId="0" applyNumberFormat="1" applyFont="1" applyFill="1" applyBorder="1" applyAlignment="1">
      <alignment horizontal="center" vertical="center" wrapText="1"/>
    </xf>
    <xf numFmtId="41" fontId="21" fillId="2" borderId="1" xfId="0" applyNumberFormat="1" applyFont="1" applyFill="1" applyBorder="1" applyAlignment="1">
      <alignment horizontal="center" vertical="center"/>
    </xf>
    <xf numFmtId="0" fontId="21" fillId="0" borderId="1" xfId="0" applyFont="1" applyFill="1" applyBorder="1" applyAlignment="1">
      <alignment horizontal="left" vertical="center" wrapText="1"/>
    </xf>
    <xf numFmtId="0" fontId="22" fillId="0" borderId="0" xfId="0" applyFont="1" applyBorder="1"/>
    <xf numFmtId="0" fontId="22" fillId="0" borderId="0" xfId="0" applyFont="1" applyAlignment="1">
      <alignment horizontal="left" vertical="top"/>
    </xf>
    <xf numFmtId="0" fontId="22" fillId="0" borderId="0" xfId="0" applyFont="1" applyAlignment="1">
      <alignment horizontal="center"/>
    </xf>
    <xf numFmtId="165" fontId="22" fillId="0" borderId="0" xfId="1" applyNumberFormat="1" applyFont="1" applyAlignment="1">
      <alignment horizontal="center"/>
    </xf>
    <xf numFmtId="165" fontId="22" fillId="0" borderId="0" xfId="1" applyNumberFormat="1" applyFont="1"/>
    <xf numFmtId="41" fontId="22" fillId="0" borderId="0" xfId="0" applyNumberFormat="1" applyFont="1"/>
    <xf numFmtId="41" fontId="22" fillId="0" borderId="0" xfId="0" applyNumberFormat="1" applyFont="1" applyAlignment="1">
      <alignment horizontal="center" vertical="center"/>
    </xf>
    <xf numFmtId="41" fontId="22" fillId="0" borderId="0" xfId="0" applyNumberFormat="1" applyFont="1" applyAlignment="1">
      <alignment horizontal="center"/>
    </xf>
    <xf numFmtId="41" fontId="22" fillId="0" borderId="0" xfId="0" applyNumberFormat="1" applyFont="1" applyFill="1" applyAlignment="1">
      <alignment horizontal="center" vertical="center"/>
    </xf>
    <xf numFmtId="0" fontId="22" fillId="0" borderId="0" xfId="0" applyFont="1" applyFill="1" applyBorder="1"/>
    <xf numFmtId="0" fontId="22" fillId="0" borderId="0" xfId="0" applyFont="1"/>
    <xf numFmtId="0" fontId="0" fillId="0" borderId="1" xfId="0" applyFont="1" applyBorder="1"/>
    <xf numFmtId="0" fontId="0" fillId="0" borderId="1" xfId="0" applyFont="1" applyBorder="1" applyAlignment="1">
      <alignment horizontal="center" vertical="top"/>
    </xf>
    <xf numFmtId="0" fontId="0" fillId="0" borderId="1" xfId="0" applyFont="1" applyBorder="1" applyAlignment="1">
      <alignment horizontal="center" vertical="center"/>
    </xf>
    <xf numFmtId="0" fontId="0" fillId="0" borderId="1" xfId="0" applyFont="1" applyBorder="1" applyAlignment="1">
      <alignment horizontal="right" vertical="top"/>
    </xf>
    <xf numFmtId="0" fontId="0" fillId="0" borderId="1" xfId="0" applyFont="1" applyFill="1" applyBorder="1" applyAlignment="1">
      <alignment horizontal="center" vertical="center" wrapText="1"/>
    </xf>
    <xf numFmtId="166" fontId="0" fillId="0" borderId="1" xfId="5" applyNumberFormat="1" applyFont="1" applyFill="1" applyBorder="1" applyAlignment="1">
      <alignment vertical="center"/>
    </xf>
    <xf numFmtId="166" fontId="0" fillId="0" borderId="1" xfId="1" applyNumberFormat="1" applyFont="1" applyFill="1" applyBorder="1" applyAlignment="1">
      <alignment vertical="center"/>
    </xf>
    <xf numFmtId="166" fontId="0" fillId="0" borderId="1" xfId="5" applyNumberFormat="1" applyFont="1" applyFill="1" applyBorder="1" applyAlignment="1">
      <alignment horizontal="right" vertical="center"/>
    </xf>
    <xf numFmtId="41" fontId="0" fillId="0" borderId="1" xfId="0" applyNumberFormat="1" applyFont="1" applyFill="1" applyBorder="1" applyAlignment="1">
      <alignment horizontal="center" vertical="center"/>
    </xf>
    <xf numFmtId="1" fontId="0" fillId="0" borderId="1" xfId="0" applyNumberFormat="1" applyFont="1" applyFill="1" applyBorder="1" applyAlignment="1">
      <alignment horizontal="center" vertical="center"/>
    </xf>
    <xf numFmtId="9" fontId="0" fillId="0" borderId="1" xfId="2" applyFont="1" applyFill="1" applyBorder="1" applyAlignment="1">
      <alignment vertical="center"/>
    </xf>
    <xf numFmtId="0" fontId="12"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1" fontId="0" fillId="0" borderId="1" xfId="0" applyNumberFormat="1" applyFont="1" applyFill="1" applyBorder="1" applyAlignment="1">
      <alignment horizontal="center" vertical="center" wrapText="1"/>
    </xf>
    <xf numFmtId="166" fontId="0" fillId="0" borderId="1" xfId="1" applyNumberFormat="1" applyFont="1" applyFill="1" applyBorder="1" applyAlignment="1">
      <alignment vertical="center" wrapText="1"/>
    </xf>
    <xf numFmtId="166" fontId="0" fillId="0" borderId="1" xfId="1" applyNumberFormat="1" applyFont="1" applyFill="1" applyBorder="1" applyAlignment="1">
      <alignment horizontal="center" vertical="center"/>
    </xf>
    <xf numFmtId="166" fontId="0" fillId="0" borderId="1" xfId="5" applyNumberFormat="1" applyFont="1" applyFill="1" applyBorder="1" applyAlignment="1">
      <alignment vertical="center" wrapText="1"/>
    </xf>
    <xf numFmtId="0" fontId="0" fillId="0" borderId="1" xfId="0" applyFont="1" applyFill="1" applyBorder="1" applyAlignment="1">
      <alignment vertical="center" wrapText="1"/>
    </xf>
    <xf numFmtId="0" fontId="0" fillId="0" borderId="1" xfId="0" applyFont="1" applyFill="1" applyBorder="1" applyAlignment="1">
      <alignment horizontal="right" vertical="center"/>
    </xf>
    <xf numFmtId="172" fontId="22" fillId="0" borderId="0" xfId="0" applyNumberFormat="1" applyFont="1" applyFill="1"/>
    <xf numFmtId="0" fontId="21" fillId="0" borderId="0" xfId="0" applyFont="1"/>
    <xf numFmtId="41" fontId="0" fillId="0" borderId="1" xfId="0" applyNumberFormat="1" applyFont="1" applyBorder="1" applyAlignment="1">
      <alignment horizontal="center"/>
    </xf>
    <xf numFmtId="41" fontId="0" fillId="0" borderId="1" xfId="0" applyNumberFormat="1" applyFont="1" applyBorder="1" applyAlignment="1">
      <alignment horizontal="center" vertical="center"/>
    </xf>
    <xf numFmtId="41" fontId="12" fillId="0" borderId="1" xfId="0" applyNumberFormat="1" applyFont="1" applyFill="1" applyBorder="1" applyAlignment="1">
      <alignment horizontal="center" vertical="center"/>
    </xf>
    <xf numFmtId="166" fontId="0" fillId="0" borderId="1" xfId="1" applyNumberFormat="1" applyFont="1" applyFill="1" applyBorder="1" applyAlignment="1">
      <alignment horizontal="right" vertical="center"/>
    </xf>
    <xf numFmtId="1" fontId="0" fillId="0" borderId="1" xfId="1" applyNumberFormat="1" applyFont="1" applyFill="1" applyBorder="1" applyAlignment="1">
      <alignment horizontal="center" vertical="center"/>
    </xf>
    <xf numFmtId="41" fontId="0" fillId="0" borderId="1" xfId="0" applyNumberFormat="1" applyFont="1" applyFill="1" applyBorder="1" applyAlignment="1">
      <alignment horizontal="center" wrapText="1"/>
    </xf>
    <xf numFmtId="0" fontId="0" fillId="0" borderId="1" xfId="1" applyNumberFormat="1" applyFont="1" applyFill="1" applyBorder="1" applyAlignment="1">
      <alignment horizontal="center" vertical="center"/>
    </xf>
    <xf numFmtId="43" fontId="0" fillId="0" borderId="1" xfId="1" applyFont="1" applyFill="1" applyBorder="1" applyAlignment="1">
      <alignment vertical="center"/>
    </xf>
    <xf numFmtId="9" fontId="0" fillId="0" borderId="1" xfId="3" applyFont="1" applyFill="1" applyBorder="1" applyAlignment="1">
      <alignment vertical="center"/>
    </xf>
    <xf numFmtId="41" fontId="0" fillId="0" borderId="36" xfId="0" applyNumberFormat="1" applyFont="1" applyFill="1" applyBorder="1" applyAlignment="1">
      <alignment horizontal="center" vertical="center"/>
    </xf>
    <xf numFmtId="0" fontId="0" fillId="0" borderId="36" xfId="0" applyFont="1" applyFill="1" applyBorder="1"/>
    <xf numFmtId="0" fontId="22" fillId="0" borderId="36" xfId="0" applyFont="1" applyBorder="1"/>
    <xf numFmtId="0" fontId="0" fillId="0" borderId="0" xfId="0" applyFont="1" applyBorder="1"/>
    <xf numFmtId="0" fontId="0" fillId="0" borderId="0" xfId="0" applyFont="1" applyBorder="1" applyAlignment="1">
      <alignment horizontal="left" vertical="top"/>
    </xf>
    <xf numFmtId="0" fontId="0" fillId="0" borderId="0" xfId="0" applyFont="1" applyBorder="1" applyAlignment="1">
      <alignment horizontal="center"/>
    </xf>
    <xf numFmtId="165" fontId="0" fillId="0" borderId="0" xfId="1" applyNumberFormat="1" applyFont="1" applyBorder="1" applyAlignment="1">
      <alignment horizontal="center" vertical="center"/>
    </xf>
    <xf numFmtId="165" fontId="0" fillId="0" borderId="0" xfId="1" applyNumberFormat="1" applyFont="1" applyBorder="1" applyAlignment="1">
      <alignment horizontal="right"/>
    </xf>
    <xf numFmtId="165" fontId="0" fillId="0" borderId="0" xfId="1" applyNumberFormat="1" applyFont="1" applyBorder="1" applyAlignment="1">
      <alignment horizontal="center"/>
    </xf>
    <xf numFmtId="165" fontId="0" fillId="0" borderId="0" xfId="1" applyNumberFormat="1" applyFont="1" applyBorder="1"/>
    <xf numFmtId="41" fontId="0" fillId="0" borderId="0" xfId="0" applyNumberFormat="1" applyFont="1" applyBorder="1"/>
    <xf numFmtId="41" fontId="0" fillId="0" borderId="0" xfId="0" applyNumberFormat="1" applyFont="1" applyBorder="1" applyAlignment="1">
      <alignment horizontal="center" vertical="center"/>
    </xf>
    <xf numFmtId="41" fontId="0" fillId="0" borderId="0" xfId="0" applyNumberFormat="1" applyFont="1" applyBorder="1" applyAlignment="1">
      <alignment horizontal="center"/>
    </xf>
    <xf numFmtId="41" fontId="0" fillId="0" borderId="0" xfId="0" applyNumberFormat="1" applyFont="1" applyFill="1" applyBorder="1" applyAlignment="1">
      <alignment horizontal="center" vertical="center"/>
    </xf>
    <xf numFmtId="0" fontId="0" fillId="0" borderId="0" xfId="0" applyFont="1" applyFill="1" applyBorder="1"/>
    <xf numFmtId="0" fontId="0" fillId="0" borderId="1" xfId="0" applyFont="1" applyBorder="1" applyAlignment="1">
      <alignment horizontal="left" vertical="top"/>
    </xf>
    <xf numFmtId="0" fontId="0" fillId="0" borderId="1" xfId="0" applyFont="1" applyBorder="1" applyAlignment="1">
      <alignment horizontal="center"/>
    </xf>
    <xf numFmtId="165" fontId="0" fillId="0" borderId="1" xfId="1" applyNumberFormat="1" applyFont="1" applyBorder="1" applyAlignment="1">
      <alignment horizontal="center" vertical="center"/>
    </xf>
    <xf numFmtId="165" fontId="0" fillId="0" borderId="1" xfId="1" applyNumberFormat="1" applyFont="1" applyBorder="1" applyAlignment="1">
      <alignment horizontal="right"/>
    </xf>
    <xf numFmtId="165" fontId="0" fillId="0" borderId="1" xfId="1" applyNumberFormat="1" applyFont="1" applyBorder="1" applyAlignment="1">
      <alignment horizontal="center"/>
    </xf>
    <xf numFmtId="165" fontId="0" fillId="0" borderId="1" xfId="1" applyNumberFormat="1" applyFont="1" applyBorder="1"/>
    <xf numFmtId="41" fontId="0" fillId="0" borderId="1" xfId="0" applyNumberFormat="1" applyFont="1" applyBorder="1"/>
    <xf numFmtId="0" fontId="0" fillId="0" borderId="1" xfId="0" applyFont="1" applyFill="1" applyBorder="1"/>
    <xf numFmtId="0" fontId="12" fillId="2" borderId="1" xfId="0" applyFont="1" applyFill="1" applyBorder="1" applyAlignment="1">
      <alignment horizontal="center" vertical="center"/>
    </xf>
    <xf numFmtId="0" fontId="12" fillId="2" borderId="1" xfId="0" applyFont="1" applyFill="1" applyBorder="1" applyAlignment="1">
      <alignment vertical="center"/>
    </xf>
    <xf numFmtId="165" fontId="12" fillId="2" borderId="1" xfId="1" applyNumberFormat="1" applyFont="1" applyFill="1" applyBorder="1" applyAlignment="1">
      <alignment vertical="center"/>
    </xf>
    <xf numFmtId="165" fontId="12" fillId="2" borderId="1" xfId="1" applyNumberFormat="1" applyFont="1" applyFill="1" applyBorder="1" applyAlignment="1">
      <alignment vertical="center" wrapText="1"/>
    </xf>
    <xf numFmtId="0" fontId="0" fillId="0" borderId="0" xfId="0" applyFont="1" applyAlignment="1">
      <alignment horizontal="left" vertical="top"/>
    </xf>
    <xf numFmtId="0" fontId="3" fillId="0" borderId="1" xfId="0" applyFont="1" applyFill="1" applyBorder="1" applyAlignment="1">
      <alignment vertical="center"/>
    </xf>
    <xf numFmtId="165" fontId="3" fillId="0" borderId="1" xfId="1" applyNumberFormat="1" applyFont="1" applyFill="1" applyBorder="1" applyAlignment="1">
      <alignment vertical="center"/>
    </xf>
    <xf numFmtId="165" fontId="3" fillId="0" borderId="1" xfId="1" applyNumberFormat="1" applyFont="1" applyFill="1" applyBorder="1" applyAlignment="1">
      <alignment vertical="center" wrapText="1"/>
    </xf>
    <xf numFmtId="165" fontId="3" fillId="0" borderId="1" xfId="1" applyNumberFormat="1" applyFont="1" applyFill="1" applyBorder="1" applyAlignment="1">
      <alignment horizontal="center" vertical="center" wrapText="1"/>
    </xf>
    <xf numFmtId="41" fontId="3" fillId="0" borderId="1" xfId="0"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0" fontId="26" fillId="11" borderId="20" xfId="0" applyFont="1" applyFill="1" applyBorder="1" applyAlignment="1">
      <alignment horizontal="left" vertical="center" wrapText="1"/>
    </xf>
    <xf numFmtId="0" fontId="26" fillId="8" borderId="20" xfId="0" applyFont="1" applyFill="1" applyBorder="1" applyAlignment="1">
      <alignment horizontal="left" vertical="center" wrapText="1"/>
    </xf>
    <xf numFmtId="0" fontId="2" fillId="8" borderId="1" xfId="0" applyFont="1" applyFill="1" applyBorder="1" applyAlignment="1">
      <alignment horizontal="left" vertical="center" wrapText="1"/>
    </xf>
    <xf numFmtId="0" fontId="2" fillId="8" borderId="1" xfId="0" applyFont="1" applyFill="1" applyBorder="1" applyAlignment="1">
      <alignment horizontal="center" vertical="center" wrapText="1"/>
    </xf>
    <xf numFmtId="9" fontId="2" fillId="8" borderId="1" xfId="3" applyFont="1" applyFill="1" applyBorder="1" applyAlignment="1">
      <alignment vertical="center"/>
    </xf>
    <xf numFmtId="166" fontId="2" fillId="8" borderId="1" xfId="1" applyNumberFormat="1" applyFont="1" applyFill="1" applyBorder="1" applyAlignment="1">
      <alignment vertical="center"/>
    </xf>
    <xf numFmtId="0" fontId="2" fillId="8" borderId="1" xfId="0" applyFont="1" applyFill="1" applyBorder="1" applyAlignment="1">
      <alignment horizontal="center" vertical="center"/>
    </xf>
    <xf numFmtId="0" fontId="4" fillId="8" borderId="0" xfId="0" applyFont="1" applyFill="1" applyBorder="1" applyAlignment="1">
      <alignment horizontal="left" vertical="top" wrapText="1"/>
    </xf>
    <xf numFmtId="0" fontId="0" fillId="3" borderId="2" xfId="0" applyFont="1" applyFill="1" applyBorder="1" applyAlignment="1">
      <alignment horizontal="left" vertical="center"/>
    </xf>
    <xf numFmtId="0" fontId="12" fillId="3" borderId="3" xfId="0" applyFont="1" applyFill="1" applyBorder="1" applyAlignment="1">
      <alignment horizontal="right" vertical="center"/>
    </xf>
    <xf numFmtId="0" fontId="3" fillId="3" borderId="28" xfId="0" applyFont="1" applyFill="1" applyBorder="1" applyAlignment="1">
      <alignment horizontal="right" vertical="center"/>
    </xf>
    <xf numFmtId="0" fontId="2" fillId="3" borderId="25" xfId="0" applyFont="1" applyFill="1" applyBorder="1" applyAlignment="1">
      <alignment horizontal="center" vertical="center" wrapText="1"/>
    </xf>
    <xf numFmtId="0" fontId="2" fillId="3" borderId="5" xfId="0" applyFont="1" applyFill="1" applyBorder="1" applyAlignment="1">
      <alignment horizontal="center" vertical="center" wrapText="1"/>
    </xf>
    <xf numFmtId="166" fontId="2" fillId="3" borderId="26" xfId="1" applyNumberFormat="1" applyFont="1" applyFill="1" applyBorder="1" applyAlignment="1">
      <alignment vertical="center"/>
    </xf>
    <xf numFmtId="43" fontId="2" fillId="3" borderId="5" xfId="1" applyFont="1" applyFill="1" applyBorder="1" applyAlignment="1">
      <alignment vertical="center"/>
    </xf>
    <xf numFmtId="167" fontId="3" fillId="3" borderId="29" xfId="1" applyNumberFormat="1" applyFont="1" applyFill="1" applyBorder="1" applyAlignment="1">
      <alignment vertical="center"/>
    </xf>
    <xf numFmtId="167" fontId="3" fillId="3" borderId="27" xfId="0" applyNumberFormat="1" applyFont="1" applyFill="1" applyBorder="1" applyAlignment="1">
      <alignment vertical="center"/>
    </xf>
    <xf numFmtId="167" fontId="3" fillId="3" borderId="29" xfId="0" applyNumberFormat="1" applyFont="1" applyFill="1" applyBorder="1" applyAlignment="1">
      <alignment vertical="center"/>
    </xf>
    <xf numFmtId="167" fontId="3" fillId="3" borderId="30" xfId="0" applyNumberFormat="1" applyFont="1" applyFill="1" applyBorder="1" applyAlignment="1">
      <alignment vertical="center"/>
    </xf>
    <xf numFmtId="167" fontId="3" fillId="3" borderId="3" xfId="0" applyNumberFormat="1" applyFont="1" applyFill="1" applyBorder="1" applyAlignment="1">
      <alignment vertical="center"/>
    </xf>
    <xf numFmtId="0" fontId="2" fillId="3" borderId="31" xfId="0" applyFont="1" applyFill="1" applyBorder="1" applyAlignment="1">
      <alignment horizontal="center" vertical="center"/>
    </xf>
    <xf numFmtId="1" fontId="2" fillId="8" borderId="1" xfId="0" applyNumberFormat="1" applyFont="1" applyFill="1" applyBorder="1" applyAlignment="1">
      <alignment horizontal="center" vertical="center" wrapText="1"/>
    </xf>
    <xf numFmtId="166" fontId="2" fillId="8" borderId="1" xfId="1" applyNumberFormat="1" applyFont="1" applyFill="1" applyBorder="1" applyAlignment="1">
      <alignment vertical="center" wrapText="1"/>
    </xf>
    <xf numFmtId="0" fontId="12" fillId="9" borderId="1" xfId="0" applyFont="1" applyFill="1" applyBorder="1" applyAlignment="1">
      <alignment horizontal="center" vertical="center"/>
    </xf>
    <xf numFmtId="0" fontId="12" fillId="9" borderId="1" xfId="0" applyFont="1" applyFill="1" applyBorder="1" applyAlignment="1">
      <alignment vertical="center" wrapText="1"/>
    </xf>
    <xf numFmtId="0" fontId="3" fillId="9" borderId="1" xfId="0" applyFont="1" applyFill="1" applyBorder="1" applyAlignment="1">
      <alignment vertical="center" wrapText="1"/>
    </xf>
    <xf numFmtId="41" fontId="3" fillId="9" borderId="1" xfId="0" applyNumberFormat="1" applyFont="1" applyFill="1" applyBorder="1" applyAlignment="1">
      <alignment horizontal="center" vertical="center"/>
    </xf>
    <xf numFmtId="9" fontId="3" fillId="9" borderId="1" xfId="0" applyNumberFormat="1" applyFont="1" applyFill="1" applyBorder="1" applyAlignment="1">
      <alignment horizontal="center" vertical="center"/>
    </xf>
    <xf numFmtId="9" fontId="2" fillId="9" borderId="1" xfId="3" applyFont="1" applyFill="1" applyBorder="1" applyAlignment="1">
      <alignment vertical="center"/>
    </xf>
    <xf numFmtId="43" fontId="2" fillId="9" borderId="1" xfId="1" applyFont="1" applyFill="1" applyBorder="1" applyAlignment="1">
      <alignment vertical="center"/>
    </xf>
    <xf numFmtId="0" fontId="2" fillId="9" borderId="1" xfId="0" applyFont="1" applyFill="1" applyBorder="1" applyAlignment="1">
      <alignment horizontal="center" vertical="center"/>
    </xf>
    <xf numFmtId="0" fontId="4" fillId="9" borderId="0" xfId="0" applyFont="1" applyFill="1"/>
    <xf numFmtId="0" fontId="27" fillId="12" borderId="20" xfId="0" applyFont="1" applyFill="1" applyBorder="1" applyAlignment="1">
      <alignment horizontal="left" vertical="center" wrapText="1"/>
    </xf>
    <xf numFmtId="0" fontId="3" fillId="12" borderId="1" xfId="0" applyFont="1" applyFill="1" applyBorder="1" applyAlignment="1">
      <alignment horizontal="left" vertical="center" wrapText="1"/>
    </xf>
    <xf numFmtId="0" fontId="3" fillId="12" borderId="1" xfId="0" applyFont="1" applyFill="1" applyBorder="1" applyAlignment="1">
      <alignment horizontal="center" vertical="center"/>
    </xf>
    <xf numFmtId="1" fontId="3" fillId="12" borderId="1" xfId="0" applyNumberFormat="1" applyFont="1" applyFill="1" applyBorder="1" applyAlignment="1">
      <alignment horizontal="center" vertical="center"/>
    </xf>
    <xf numFmtId="0" fontId="21" fillId="0" borderId="0" xfId="0" applyFont="1" applyFill="1"/>
    <xf numFmtId="0" fontId="12" fillId="0" borderId="1" xfId="0" applyFont="1" applyFill="1" applyBorder="1" applyAlignment="1">
      <alignment horizontal="center" vertical="center"/>
    </xf>
    <xf numFmtId="0" fontId="12" fillId="0" borderId="1" xfId="0" applyFont="1" applyFill="1" applyBorder="1" applyAlignment="1">
      <alignment vertical="center"/>
    </xf>
    <xf numFmtId="165" fontId="12" fillId="0" borderId="1" xfId="1" applyNumberFormat="1" applyFont="1" applyFill="1" applyBorder="1" applyAlignment="1">
      <alignment vertical="center"/>
    </xf>
    <xf numFmtId="165" fontId="12" fillId="0" borderId="1" xfId="1" applyNumberFormat="1" applyFont="1" applyFill="1" applyBorder="1" applyAlignment="1">
      <alignment vertical="center" wrapText="1"/>
    </xf>
    <xf numFmtId="165" fontId="12" fillId="0" borderId="1" xfId="1" applyNumberFormat="1" applyFont="1" applyFill="1" applyBorder="1" applyAlignment="1">
      <alignment horizontal="center" vertical="center" wrapText="1"/>
    </xf>
    <xf numFmtId="41" fontId="12" fillId="0" borderId="1" xfId="0" applyNumberFormat="1" applyFont="1" applyFill="1" applyBorder="1" applyAlignment="1">
      <alignment horizontal="center" vertical="center" wrapText="1"/>
    </xf>
    <xf numFmtId="165" fontId="12" fillId="0" borderId="1" xfId="1" applyNumberFormat="1" applyFont="1" applyFill="1" applyBorder="1" applyAlignment="1">
      <alignment horizontal="center" vertical="center"/>
    </xf>
    <xf numFmtId="0" fontId="0" fillId="0" borderId="1" xfId="0" applyFont="1" applyFill="1" applyBorder="1" applyAlignment="1">
      <alignment horizontal="right" vertical="center" wrapText="1"/>
    </xf>
    <xf numFmtId="0" fontId="27" fillId="0" borderId="20" xfId="0" applyFont="1" applyFill="1" applyBorder="1" applyAlignment="1">
      <alignment horizontal="left" vertical="center" wrapText="1"/>
    </xf>
    <xf numFmtId="0" fontId="0" fillId="0" borderId="36" xfId="0" applyFont="1" applyFill="1" applyBorder="1" applyAlignment="1">
      <alignment horizontal="left" vertical="top"/>
    </xf>
    <xf numFmtId="0" fontId="0" fillId="0" borderId="36" xfId="0" applyFont="1" applyFill="1" applyBorder="1" applyAlignment="1">
      <alignment horizontal="center"/>
    </xf>
    <xf numFmtId="165" fontId="0" fillId="0" borderId="36" xfId="1" applyNumberFormat="1" applyFont="1" applyFill="1" applyBorder="1" applyAlignment="1">
      <alignment horizontal="center" vertical="center"/>
    </xf>
    <xf numFmtId="165" fontId="0" fillId="0" borderId="36" xfId="1" applyNumberFormat="1" applyFont="1" applyFill="1" applyBorder="1" applyAlignment="1">
      <alignment horizontal="right"/>
    </xf>
    <xf numFmtId="165" fontId="0" fillId="0" borderId="36" xfId="1" applyNumberFormat="1" applyFont="1" applyFill="1" applyBorder="1" applyAlignment="1">
      <alignment horizontal="center"/>
    </xf>
    <xf numFmtId="165" fontId="0" fillId="0" borderId="36" xfId="1" applyNumberFormat="1" applyFont="1" applyFill="1" applyBorder="1"/>
    <xf numFmtId="41" fontId="0" fillId="0" borderId="36" xfId="0" applyNumberFormat="1" applyFont="1" applyFill="1" applyBorder="1"/>
    <xf numFmtId="41" fontId="0" fillId="0" borderId="36" xfId="0" applyNumberFormat="1" applyFont="1" applyFill="1" applyBorder="1" applyAlignment="1">
      <alignment horizontal="center"/>
    </xf>
    <xf numFmtId="0" fontId="22" fillId="0" borderId="36" xfId="0" applyFont="1" applyFill="1" applyBorder="1"/>
    <xf numFmtId="0" fontId="0" fillId="0" borderId="0" xfId="0" applyFont="1" applyFill="1" applyBorder="1" applyAlignment="1">
      <alignment horizontal="left" vertical="top"/>
    </xf>
    <xf numFmtId="0" fontId="0" fillId="0" borderId="0" xfId="0" applyFont="1" applyFill="1" applyBorder="1" applyAlignment="1">
      <alignment horizontal="center"/>
    </xf>
    <xf numFmtId="165" fontId="0" fillId="0" borderId="0" xfId="1" applyNumberFormat="1" applyFont="1" applyFill="1" applyBorder="1" applyAlignment="1">
      <alignment horizontal="center" vertical="center"/>
    </xf>
    <xf numFmtId="165" fontId="0" fillId="0" borderId="0" xfId="1" applyNumberFormat="1" applyFont="1" applyFill="1" applyBorder="1" applyAlignment="1">
      <alignment horizontal="right"/>
    </xf>
    <xf numFmtId="165" fontId="0" fillId="0" borderId="0" xfId="1" applyNumberFormat="1" applyFont="1" applyFill="1" applyBorder="1" applyAlignment="1">
      <alignment horizontal="center"/>
    </xf>
    <xf numFmtId="165" fontId="0" fillId="0" borderId="0" xfId="1" applyNumberFormat="1" applyFont="1" applyFill="1" applyBorder="1"/>
    <xf numFmtId="41" fontId="0" fillId="0" borderId="0" xfId="0" applyNumberFormat="1" applyFont="1" applyFill="1" applyBorder="1"/>
    <xf numFmtId="41" fontId="0" fillId="0" borderId="0" xfId="0" applyNumberFormat="1" applyFont="1" applyFill="1" applyBorder="1" applyAlignment="1">
      <alignment horizontal="center"/>
    </xf>
    <xf numFmtId="0" fontId="0" fillId="11" borderId="1" xfId="0" applyFont="1" applyFill="1" applyBorder="1" applyAlignment="1">
      <alignment horizontal="left" vertical="center" wrapText="1"/>
    </xf>
    <xf numFmtId="0" fontId="0" fillId="11" borderId="1" xfId="0" applyFont="1" applyFill="1" applyBorder="1" applyAlignment="1">
      <alignment horizontal="center" vertical="center"/>
    </xf>
    <xf numFmtId="0" fontId="0" fillId="11" borderId="1" xfId="0" applyFont="1" applyFill="1" applyBorder="1" applyAlignment="1">
      <alignment horizontal="right" vertical="center" wrapText="1"/>
    </xf>
    <xf numFmtId="9" fontId="0" fillId="11" borderId="1" xfId="3" applyFont="1" applyFill="1" applyBorder="1" applyAlignment="1">
      <alignment vertical="center"/>
    </xf>
    <xf numFmtId="43" fontId="0" fillId="11" borderId="1" xfId="1" applyFont="1" applyFill="1" applyBorder="1" applyAlignment="1">
      <alignment vertical="center"/>
    </xf>
    <xf numFmtId="0" fontId="0" fillId="11" borderId="1" xfId="0" applyFont="1" applyFill="1" applyBorder="1" applyAlignment="1">
      <alignment vertical="center" wrapText="1"/>
    </xf>
    <xf numFmtId="0" fontId="22" fillId="11" borderId="0" xfId="0" applyFont="1" applyFill="1"/>
    <xf numFmtId="0" fontId="0" fillId="12" borderId="1" xfId="0" applyFont="1" applyFill="1" applyBorder="1" applyAlignment="1">
      <alignment vertical="center" wrapText="1"/>
    </xf>
    <xf numFmtId="0" fontId="0" fillId="12" borderId="1" xfId="0" applyFont="1" applyFill="1" applyBorder="1" applyAlignment="1">
      <alignment horizontal="center" vertical="center" wrapText="1"/>
    </xf>
    <xf numFmtId="0" fontId="0" fillId="12" borderId="1" xfId="0" applyFont="1" applyFill="1" applyBorder="1" applyAlignment="1">
      <alignment horizontal="right" vertical="center" wrapText="1"/>
    </xf>
    <xf numFmtId="43" fontId="0" fillId="12" borderId="1" xfId="1" applyFont="1" applyFill="1" applyBorder="1" applyAlignment="1">
      <alignment vertical="center"/>
    </xf>
    <xf numFmtId="9" fontId="0" fillId="12" borderId="1" xfId="3" applyFont="1" applyFill="1" applyBorder="1" applyAlignment="1">
      <alignment vertical="center"/>
    </xf>
    <xf numFmtId="166" fontId="0" fillId="12" borderId="1" xfId="1" applyNumberFormat="1" applyFont="1" applyFill="1" applyBorder="1" applyAlignment="1">
      <alignment vertical="center"/>
    </xf>
    <xf numFmtId="0" fontId="0" fillId="12" borderId="1" xfId="0" applyFont="1" applyFill="1" applyBorder="1" applyAlignment="1">
      <alignment horizontal="center" vertical="center"/>
    </xf>
    <xf numFmtId="0" fontId="22" fillId="12" borderId="0" xfId="0" applyFont="1" applyFill="1" applyBorder="1" applyAlignment="1">
      <alignment horizontal="left" vertical="top" wrapText="1"/>
    </xf>
    <xf numFmtId="0" fontId="22" fillId="12" borderId="1" xfId="0" applyFont="1" applyFill="1" applyBorder="1" applyAlignment="1">
      <alignment horizontal="left" vertical="center" wrapText="1"/>
    </xf>
    <xf numFmtId="1" fontId="0" fillId="12" borderId="1" xfId="0" applyNumberFormat="1" applyFont="1" applyFill="1" applyBorder="1" applyAlignment="1">
      <alignment horizontal="center" vertical="center" wrapText="1"/>
    </xf>
    <xf numFmtId="166" fontId="0" fillId="12" borderId="1" xfId="5" applyNumberFormat="1" applyFont="1" applyFill="1" applyBorder="1" applyAlignment="1">
      <alignment horizontal="right" vertical="center"/>
    </xf>
    <xf numFmtId="9" fontId="0" fillId="12" borderId="1" xfId="2" applyFont="1" applyFill="1" applyBorder="1" applyAlignment="1">
      <alignment vertical="center"/>
    </xf>
    <xf numFmtId="166" fontId="0" fillId="12" borderId="1" xfId="5" applyNumberFormat="1" applyFont="1" applyFill="1" applyBorder="1" applyAlignment="1">
      <alignment vertical="center"/>
    </xf>
    <xf numFmtId="41" fontId="0" fillId="12" borderId="1" xfId="0" applyNumberFormat="1" applyFont="1" applyFill="1" applyBorder="1" applyAlignment="1">
      <alignment horizontal="center" vertical="center"/>
    </xf>
    <xf numFmtId="41" fontId="0" fillId="12" borderId="1" xfId="0" applyNumberFormat="1" applyFont="1" applyFill="1" applyBorder="1" applyAlignment="1">
      <alignment horizontal="center" vertical="center" wrapText="1"/>
    </xf>
    <xf numFmtId="1" fontId="0" fillId="12" borderId="1" xfId="0" applyNumberFormat="1" applyFont="1" applyFill="1" applyBorder="1" applyAlignment="1">
      <alignment horizontal="center" vertical="center"/>
    </xf>
    <xf numFmtId="0" fontId="24" fillId="12" borderId="0" xfId="0" applyFont="1" applyFill="1" applyBorder="1" applyAlignment="1">
      <alignment horizontal="left" vertical="top" wrapText="1"/>
    </xf>
    <xf numFmtId="0" fontId="12" fillId="12" borderId="1" xfId="0" applyFont="1" applyFill="1" applyBorder="1" applyAlignment="1">
      <alignment horizontal="left" vertical="center" wrapText="1"/>
    </xf>
    <xf numFmtId="0" fontId="20" fillId="12" borderId="1" xfId="0" applyFont="1" applyFill="1" applyBorder="1" applyAlignment="1">
      <alignment horizontal="center" vertical="center"/>
    </xf>
    <xf numFmtId="0" fontId="0" fillId="12" borderId="1" xfId="0" applyFont="1" applyFill="1" applyBorder="1" applyAlignment="1">
      <alignment horizontal="left" vertical="center" wrapText="1"/>
    </xf>
    <xf numFmtId="0" fontId="0" fillId="12" borderId="1" xfId="1" applyNumberFormat="1" applyFont="1" applyFill="1" applyBorder="1" applyAlignment="1">
      <alignment horizontal="center" vertical="center"/>
    </xf>
    <xf numFmtId="0" fontId="0" fillId="12" borderId="1" xfId="0" applyFont="1" applyFill="1" applyBorder="1" applyAlignment="1">
      <alignment horizontal="right" vertical="center"/>
    </xf>
    <xf numFmtId="0" fontId="22" fillId="12" borderId="0" xfId="0" applyFont="1" applyFill="1"/>
    <xf numFmtId="0" fontId="22" fillId="12" borderId="1" xfId="0" applyFont="1" applyFill="1" applyBorder="1" applyAlignment="1">
      <alignment horizontal="center" vertical="center" wrapText="1"/>
    </xf>
    <xf numFmtId="1" fontId="22" fillId="12" borderId="1" xfId="1" applyNumberFormat="1" applyFont="1" applyFill="1" applyBorder="1" applyAlignment="1">
      <alignment horizontal="center" vertical="center"/>
    </xf>
    <xf numFmtId="166" fontId="22" fillId="12" borderId="1" xfId="1" applyNumberFormat="1" applyFont="1" applyFill="1" applyBorder="1" applyAlignment="1">
      <alignment horizontal="right" vertical="center"/>
    </xf>
    <xf numFmtId="9" fontId="22" fillId="12" borderId="1" xfId="2" applyFont="1" applyFill="1" applyBorder="1" applyAlignment="1">
      <alignment vertical="center"/>
    </xf>
    <xf numFmtId="166" fontId="22" fillId="12" borderId="1" xfId="1" applyNumberFormat="1" applyFont="1" applyFill="1" applyBorder="1" applyAlignment="1">
      <alignment vertical="center"/>
    </xf>
    <xf numFmtId="166" fontId="22" fillId="12" borderId="1" xfId="1" applyNumberFormat="1" applyFont="1" applyFill="1" applyBorder="1" applyAlignment="1">
      <alignment vertical="center" wrapText="1"/>
    </xf>
    <xf numFmtId="172" fontId="22" fillId="12" borderId="0" xfId="0" applyNumberFormat="1" applyFont="1" applyFill="1"/>
    <xf numFmtId="0" fontId="21" fillId="8" borderId="1" xfId="0" applyFont="1" applyFill="1" applyBorder="1" applyAlignment="1">
      <alignment vertical="center" wrapText="1"/>
    </xf>
    <xf numFmtId="0" fontId="26" fillId="9" borderId="20" xfId="0" applyFont="1" applyFill="1" applyBorder="1" applyAlignment="1">
      <alignment horizontal="left" vertical="center" wrapText="1"/>
    </xf>
    <xf numFmtId="0" fontId="21" fillId="9" borderId="1" xfId="0" applyFont="1" applyFill="1" applyBorder="1" applyAlignment="1">
      <alignment vertical="center" wrapText="1"/>
    </xf>
    <xf numFmtId="0" fontId="21" fillId="9" borderId="1" xfId="0" applyFont="1" applyFill="1" applyBorder="1" applyAlignment="1">
      <alignment horizontal="center" vertical="center"/>
    </xf>
    <xf numFmtId="9" fontId="22" fillId="9" borderId="1" xfId="3" applyFont="1" applyFill="1" applyBorder="1" applyAlignment="1">
      <alignment vertical="center"/>
    </xf>
    <xf numFmtId="43" fontId="22" fillId="9" borderId="1" xfId="5" applyFont="1" applyFill="1" applyBorder="1" applyAlignment="1">
      <alignment vertical="center"/>
    </xf>
    <xf numFmtId="0" fontId="22" fillId="9" borderId="1" xfId="0" applyFont="1" applyFill="1" applyBorder="1" applyAlignment="1">
      <alignment horizontal="center" vertical="center"/>
    </xf>
    <xf numFmtId="167" fontId="21" fillId="8" borderId="1" xfId="0" applyNumberFormat="1" applyFont="1" applyFill="1" applyBorder="1" applyAlignment="1">
      <alignment horizontal="center" vertical="center"/>
    </xf>
    <xf numFmtId="167" fontId="21" fillId="8" borderId="1" xfId="0" applyNumberFormat="1" applyFont="1" applyFill="1" applyBorder="1" applyAlignment="1">
      <alignment vertical="center"/>
    </xf>
    <xf numFmtId="0" fontId="21" fillId="8" borderId="1" xfId="0" applyFont="1" applyFill="1" applyBorder="1" applyAlignment="1">
      <alignment horizontal="left" vertical="center" wrapText="1"/>
    </xf>
    <xf numFmtId="0" fontId="21" fillId="8" borderId="1" xfId="0" applyFont="1" applyFill="1" applyBorder="1" applyAlignment="1">
      <alignment horizontal="center" vertical="center" wrapText="1"/>
    </xf>
    <xf numFmtId="0" fontId="21" fillId="12" borderId="1" xfId="0" applyFont="1" applyFill="1" applyBorder="1" applyAlignment="1">
      <alignment horizontal="left" vertical="center" wrapText="1"/>
    </xf>
    <xf numFmtId="0" fontId="21" fillId="12" borderId="1" xfId="0" applyFont="1" applyFill="1" applyBorder="1" applyAlignment="1">
      <alignment horizontal="center" vertical="center"/>
    </xf>
    <xf numFmtId="1" fontId="21" fillId="12" borderId="1" xfId="0" applyNumberFormat="1" applyFont="1" applyFill="1" applyBorder="1" applyAlignment="1">
      <alignment horizontal="center" vertical="center"/>
    </xf>
    <xf numFmtId="167" fontId="21" fillId="12" borderId="1" xfId="0" applyNumberFormat="1" applyFont="1" applyFill="1" applyBorder="1" applyAlignment="1">
      <alignment horizontal="center" vertical="center"/>
    </xf>
    <xf numFmtId="167" fontId="21" fillId="12" borderId="1" xfId="0" applyNumberFormat="1" applyFont="1" applyFill="1" applyBorder="1" applyAlignment="1">
      <alignment vertical="center"/>
    </xf>
    <xf numFmtId="43" fontId="21" fillId="12" borderId="1" xfId="5" applyFont="1" applyFill="1" applyBorder="1" applyAlignment="1">
      <alignment vertical="center"/>
    </xf>
    <xf numFmtId="166" fontId="6" fillId="0" borderId="1" xfId="5" applyNumberFormat="1" applyFont="1" applyFill="1" applyBorder="1" applyAlignment="1">
      <alignment vertical="center"/>
    </xf>
    <xf numFmtId="41" fontId="6" fillId="0" borderId="1" xfId="0" applyNumberFormat="1" applyFont="1" applyFill="1" applyBorder="1" applyAlignment="1">
      <alignment horizontal="center" vertical="center"/>
    </xf>
    <xf numFmtId="0" fontId="2" fillId="0" borderId="1" xfId="1" applyNumberFormat="1" applyFont="1" applyFill="1" applyBorder="1" applyAlignment="1">
      <alignment horizontal="center" vertical="center" wrapText="1"/>
    </xf>
    <xf numFmtId="9" fontId="2" fillId="0" borderId="22" xfId="2" applyFont="1" applyFill="1" applyBorder="1" applyAlignment="1">
      <alignment vertical="center"/>
    </xf>
    <xf numFmtId="43" fontId="2" fillId="0" borderId="22" xfId="1" applyFont="1" applyFill="1" applyBorder="1" applyAlignment="1">
      <alignment vertical="center"/>
    </xf>
    <xf numFmtId="9" fontId="2" fillId="0" borderId="21" xfId="3" applyFont="1" applyFill="1" applyBorder="1" applyAlignment="1">
      <alignment vertical="center"/>
    </xf>
    <xf numFmtId="9" fontId="2" fillId="0" borderId="19" xfId="3" applyFont="1" applyFill="1" applyBorder="1" applyAlignment="1">
      <alignment vertical="center"/>
    </xf>
    <xf numFmtId="166" fontId="2" fillId="0" borderId="22" xfId="1" applyNumberFormat="1" applyFont="1" applyFill="1" applyBorder="1" applyAlignment="1">
      <alignment vertical="center"/>
    </xf>
    <xf numFmtId="166" fontId="2" fillId="0" borderId="44" xfId="1" applyNumberFormat="1" applyFont="1" applyFill="1" applyBorder="1" applyAlignment="1">
      <alignment vertical="center" wrapText="1"/>
    </xf>
    <xf numFmtId="166" fontId="2" fillId="0" borderId="21" xfId="1" applyNumberFormat="1" applyFont="1" applyFill="1" applyBorder="1" applyAlignment="1">
      <alignment vertical="center"/>
    </xf>
    <xf numFmtId="166" fontId="2" fillId="0" borderId="23" xfId="1" applyNumberFormat="1" applyFont="1" applyFill="1" applyBorder="1" applyAlignment="1">
      <alignment vertical="center"/>
    </xf>
    <xf numFmtId="0" fontId="3" fillId="0" borderId="24" xfId="0" applyFont="1" applyFill="1" applyBorder="1" applyAlignment="1">
      <alignment horizontal="center" vertical="center"/>
    </xf>
    <xf numFmtId="0" fontId="2" fillId="0" borderId="42" xfId="0" applyFont="1" applyFill="1" applyBorder="1" applyAlignment="1">
      <alignment horizontal="center" vertical="center"/>
    </xf>
    <xf numFmtId="166" fontId="3" fillId="12" borderId="1" xfId="1" applyNumberFormat="1" applyFont="1" applyFill="1" applyBorder="1" applyAlignment="1">
      <alignment vertical="center"/>
    </xf>
    <xf numFmtId="166" fontId="11" fillId="12" borderId="1" xfId="1" applyNumberFormat="1" applyFont="1" applyFill="1" applyBorder="1" applyAlignment="1">
      <alignment vertical="center"/>
    </xf>
    <xf numFmtId="166" fontId="3" fillId="8" borderId="1" xfId="1" applyNumberFormat="1" applyFont="1" applyFill="1" applyBorder="1" applyAlignment="1">
      <alignment vertical="center"/>
    </xf>
    <xf numFmtId="43" fontId="3" fillId="12" borderId="1" xfId="1" applyFont="1" applyFill="1" applyBorder="1" applyAlignment="1">
      <alignment vertical="center"/>
    </xf>
    <xf numFmtId="9" fontId="3" fillId="12" borderId="1" xfId="3" applyFont="1" applyFill="1" applyBorder="1" applyAlignment="1">
      <alignment vertical="center"/>
    </xf>
    <xf numFmtId="0" fontId="26" fillId="12" borderId="20" xfId="0" applyFont="1" applyFill="1" applyBorder="1" applyAlignment="1">
      <alignment horizontal="left" vertical="center" wrapText="1"/>
    </xf>
    <xf numFmtId="0" fontId="3" fillId="12" borderId="1" xfId="0" applyFont="1" applyFill="1" applyBorder="1" applyAlignment="1">
      <alignment horizontal="center" vertical="center" wrapText="1"/>
    </xf>
    <xf numFmtId="1" fontId="3" fillId="12" borderId="1" xfId="0" applyNumberFormat="1" applyFont="1" applyFill="1" applyBorder="1" applyAlignment="1">
      <alignment horizontal="center" vertical="center" wrapText="1"/>
    </xf>
    <xf numFmtId="41" fontId="3" fillId="12" borderId="1" xfId="0" applyNumberFormat="1" applyFont="1" applyFill="1" applyBorder="1" applyAlignment="1">
      <alignment horizontal="center" vertical="center"/>
    </xf>
    <xf numFmtId="0" fontId="7" fillId="12" borderId="0" xfId="0" applyFont="1" applyFill="1" applyBorder="1" applyAlignment="1">
      <alignment horizontal="left" vertical="top" wrapText="1"/>
    </xf>
    <xf numFmtId="0" fontId="3" fillId="12" borderId="1" xfId="0" applyFont="1" applyFill="1" applyBorder="1" applyAlignment="1">
      <alignment vertical="center"/>
    </xf>
    <xf numFmtId="0" fontId="11" fillId="12" borderId="1" xfId="0" applyFont="1" applyFill="1" applyBorder="1" applyAlignment="1">
      <alignment horizontal="left" vertical="center" wrapText="1"/>
    </xf>
    <xf numFmtId="0" fontId="11" fillId="12" borderId="1" xfId="0" applyFont="1" applyFill="1" applyBorder="1" applyAlignment="1">
      <alignment horizontal="center" vertical="center" wrapText="1"/>
    </xf>
    <xf numFmtId="1" fontId="11" fillId="12" borderId="1" xfId="0" applyNumberFormat="1" applyFont="1" applyFill="1" applyBorder="1" applyAlignment="1">
      <alignment horizontal="center" vertical="center" wrapText="1"/>
    </xf>
    <xf numFmtId="9" fontId="11" fillId="12" borderId="1" xfId="3" applyFont="1" applyFill="1" applyBorder="1" applyAlignment="1">
      <alignment vertical="center"/>
    </xf>
    <xf numFmtId="166" fontId="11" fillId="12" borderId="1" xfId="1" applyNumberFormat="1" applyFont="1" applyFill="1" applyBorder="1" applyAlignment="1">
      <alignment vertical="center" wrapText="1"/>
    </xf>
    <xf numFmtId="1" fontId="11" fillId="12" borderId="1" xfId="0" applyNumberFormat="1" applyFont="1" applyFill="1" applyBorder="1" applyAlignment="1">
      <alignment horizontal="center" vertical="center"/>
    </xf>
    <xf numFmtId="0" fontId="28" fillId="8" borderId="1" xfId="0" applyFont="1" applyFill="1" applyBorder="1" applyAlignment="1">
      <alignment vertical="center" wrapText="1"/>
    </xf>
    <xf numFmtId="0" fontId="3" fillId="8" borderId="1" xfId="0" applyFont="1" applyFill="1" applyBorder="1" applyAlignment="1">
      <alignment horizontal="left" vertical="center" wrapText="1"/>
    </xf>
    <xf numFmtId="0" fontId="3" fillId="8" borderId="1" xfId="0" applyFont="1" applyFill="1" applyBorder="1" applyAlignment="1">
      <alignment horizontal="center" vertical="center" wrapText="1"/>
    </xf>
    <xf numFmtId="0" fontId="3" fillId="8" borderId="1" xfId="0" applyFont="1" applyFill="1" applyBorder="1" applyAlignment="1">
      <alignment vertical="center" wrapText="1"/>
    </xf>
    <xf numFmtId="43" fontId="3" fillId="8" borderId="1" xfId="1" applyFont="1" applyFill="1" applyBorder="1" applyAlignment="1">
      <alignment vertical="center"/>
    </xf>
    <xf numFmtId="9" fontId="3" fillId="8" borderId="1" xfId="3" applyFont="1" applyFill="1" applyBorder="1" applyAlignment="1">
      <alignment vertical="center"/>
    </xf>
    <xf numFmtId="0" fontId="3" fillId="8" borderId="1" xfId="0" applyFont="1" applyFill="1" applyBorder="1" applyAlignment="1">
      <alignment horizontal="center" vertical="center"/>
    </xf>
    <xf numFmtId="0" fontId="7" fillId="8" borderId="0" xfId="0" applyFont="1" applyFill="1" applyBorder="1" applyAlignment="1">
      <alignment horizontal="left" vertical="top" wrapText="1"/>
    </xf>
    <xf numFmtId="166" fontId="3" fillId="12" borderId="1" xfId="1" applyNumberFormat="1" applyFont="1" applyFill="1" applyBorder="1" applyAlignment="1">
      <alignment vertical="center" wrapText="1"/>
    </xf>
    <xf numFmtId="41" fontId="29" fillId="0" borderId="1" xfId="0" applyNumberFormat="1" applyFont="1" applyFill="1" applyBorder="1" applyAlignment="1">
      <alignment horizontal="center" vertical="center"/>
    </xf>
    <xf numFmtId="166" fontId="29" fillId="0" borderId="1" xfId="1" applyNumberFormat="1" applyFont="1" applyFill="1" applyBorder="1" applyAlignment="1">
      <alignment vertical="center"/>
    </xf>
    <xf numFmtId="166" fontId="30" fillId="0" borderId="1" xfId="1" applyNumberFormat="1" applyFont="1" applyFill="1" applyBorder="1" applyAlignment="1">
      <alignment vertical="center"/>
    </xf>
    <xf numFmtId="166" fontId="30" fillId="0" borderId="1" xfId="1" applyNumberFormat="1" applyFont="1" applyFill="1" applyBorder="1" applyAlignment="1">
      <alignment horizontal="center" vertical="center"/>
    </xf>
    <xf numFmtId="0" fontId="27" fillId="12" borderId="1" xfId="0" applyFont="1" applyFill="1" applyBorder="1" applyAlignment="1">
      <alignment horizontal="left" vertical="center" wrapText="1"/>
    </xf>
    <xf numFmtId="3" fontId="0" fillId="0" borderId="1" xfId="0" applyNumberFormat="1" applyFont="1" applyFill="1" applyBorder="1" applyAlignment="1">
      <alignment horizontal="right" vertical="center"/>
    </xf>
    <xf numFmtId="1" fontId="2" fillId="0" borderId="1" xfId="1" applyNumberFormat="1" applyFont="1" applyFill="1" applyBorder="1" applyAlignment="1">
      <alignment horizontal="center" vertical="center"/>
    </xf>
    <xf numFmtId="174" fontId="2" fillId="0" borderId="1" xfId="1" applyNumberFormat="1" applyFont="1" applyFill="1" applyBorder="1" applyAlignment="1">
      <alignment horizontal="right" vertical="center"/>
    </xf>
    <xf numFmtId="0" fontId="31" fillId="12" borderId="1" xfId="0" applyFont="1" applyFill="1" applyBorder="1" applyAlignment="1">
      <alignment vertical="center" wrapText="1"/>
    </xf>
    <xf numFmtId="0" fontId="31" fillId="12" borderId="1" xfId="0" applyFont="1" applyFill="1" applyBorder="1" applyAlignment="1">
      <alignment horizontal="left" vertical="center" wrapText="1"/>
    </xf>
    <xf numFmtId="0" fontId="31" fillId="12" borderId="1" xfId="0" applyFont="1" applyFill="1" applyBorder="1" applyAlignment="1">
      <alignment horizontal="center" vertical="center" wrapText="1"/>
    </xf>
    <xf numFmtId="0" fontId="21" fillId="12" borderId="1" xfId="0" applyFont="1" applyFill="1" applyBorder="1" applyAlignment="1">
      <alignment vertical="center" wrapText="1"/>
    </xf>
    <xf numFmtId="9" fontId="21" fillId="12" borderId="1" xfId="3" applyFont="1" applyFill="1" applyBorder="1" applyAlignment="1">
      <alignment vertical="center"/>
    </xf>
    <xf numFmtId="9" fontId="21" fillId="8" borderId="1" xfId="3" applyFont="1" applyFill="1" applyBorder="1" applyAlignment="1">
      <alignment vertical="center"/>
    </xf>
    <xf numFmtId="43" fontId="21" fillId="8" borderId="1" xfId="5" applyFont="1" applyFill="1" applyBorder="1" applyAlignment="1">
      <alignment vertical="center"/>
    </xf>
    <xf numFmtId="0" fontId="21" fillId="8" borderId="1" xfId="0" applyFont="1" applyFill="1" applyBorder="1" applyAlignment="1">
      <alignment horizontal="center" vertical="center"/>
    </xf>
    <xf numFmtId="0" fontId="21" fillId="12" borderId="1" xfId="0" applyFont="1" applyFill="1" applyBorder="1" applyAlignment="1">
      <alignment horizontal="center" vertical="center" wrapText="1"/>
    </xf>
    <xf numFmtId="166" fontId="21" fillId="12" borderId="1" xfId="5" applyNumberFormat="1" applyFont="1" applyFill="1" applyBorder="1" applyAlignment="1">
      <alignment vertical="center"/>
    </xf>
    <xf numFmtId="166" fontId="21" fillId="12" borderId="1" xfId="1" applyNumberFormat="1" applyFont="1" applyFill="1" applyBorder="1" applyAlignment="1">
      <alignment vertical="center"/>
    </xf>
    <xf numFmtId="166" fontId="21" fillId="12" borderId="1" xfId="1" applyNumberFormat="1" applyFont="1" applyFill="1" applyBorder="1" applyAlignment="1">
      <alignment vertical="center" wrapText="1"/>
    </xf>
    <xf numFmtId="166" fontId="21" fillId="12" borderId="1" xfId="1" applyNumberFormat="1" applyFont="1" applyFill="1" applyBorder="1" applyAlignment="1">
      <alignment horizontal="center" vertical="center"/>
    </xf>
    <xf numFmtId="0" fontId="21" fillId="12" borderId="1" xfId="4" applyFont="1" applyFill="1" applyBorder="1" applyAlignment="1">
      <alignment vertical="center" wrapText="1"/>
    </xf>
    <xf numFmtId="1" fontId="21" fillId="12" borderId="1" xfId="0" applyNumberFormat="1" applyFont="1" applyFill="1" applyBorder="1" applyAlignment="1">
      <alignment horizontal="center" vertical="center" wrapText="1"/>
    </xf>
    <xf numFmtId="1" fontId="21" fillId="12" borderId="1" xfId="1" applyNumberFormat="1" applyFont="1" applyFill="1" applyBorder="1" applyAlignment="1">
      <alignment horizontal="center" vertical="center"/>
    </xf>
    <xf numFmtId="0" fontId="7" fillId="12" borderId="0" xfId="0" applyFont="1" applyFill="1"/>
    <xf numFmtId="0" fontId="21" fillId="12" borderId="1" xfId="0" applyFont="1" applyFill="1" applyBorder="1" applyAlignment="1">
      <alignment vertical="center"/>
    </xf>
    <xf numFmtId="41" fontId="21" fillId="12" borderId="1" xfId="0" applyNumberFormat="1" applyFont="1" applyFill="1" applyBorder="1" applyAlignment="1">
      <alignment horizontal="center" vertical="center"/>
    </xf>
    <xf numFmtId="41" fontId="21" fillId="12" borderId="1" xfId="0" applyNumberFormat="1" applyFont="1" applyFill="1" applyBorder="1" applyAlignment="1">
      <alignment horizontal="center" vertical="center" wrapText="1"/>
    </xf>
    <xf numFmtId="0" fontId="21" fillId="12" borderId="1" xfId="0" applyFont="1" applyFill="1" applyBorder="1" applyAlignment="1">
      <alignment horizontal="justify" vertical="center" wrapText="1"/>
    </xf>
    <xf numFmtId="0" fontId="12" fillId="3" borderId="35" xfId="0" applyFont="1" applyFill="1" applyBorder="1" applyAlignment="1">
      <alignment horizontal="right" vertical="center"/>
    </xf>
    <xf numFmtId="1" fontId="21" fillId="8" borderId="1" xfId="1" applyNumberFormat="1" applyFont="1" applyFill="1" applyBorder="1" applyAlignment="1">
      <alignment horizontal="center" vertical="center"/>
    </xf>
    <xf numFmtId="0" fontId="21" fillId="8" borderId="1" xfId="0" applyFont="1" applyFill="1" applyBorder="1" applyAlignment="1">
      <alignment vertical="center"/>
    </xf>
    <xf numFmtId="166" fontId="21" fillId="8" borderId="1" xfId="5" applyNumberFormat="1" applyFont="1" applyFill="1" applyBorder="1" applyAlignment="1">
      <alignment vertical="center"/>
    </xf>
    <xf numFmtId="41" fontId="21" fillId="8" borderId="1" xfId="0" applyNumberFormat="1" applyFont="1" applyFill="1" applyBorder="1" applyAlignment="1">
      <alignment horizontal="center" vertical="center"/>
    </xf>
    <xf numFmtId="41" fontId="21" fillId="8" borderId="1" xfId="0" applyNumberFormat="1" applyFont="1" applyFill="1" applyBorder="1" applyAlignment="1">
      <alignment horizontal="center" vertical="center" wrapText="1"/>
    </xf>
    <xf numFmtId="0" fontId="7" fillId="8" borderId="0" xfId="0" applyFont="1" applyFill="1"/>
    <xf numFmtId="9" fontId="2" fillId="0" borderId="43" xfId="3" applyFont="1" applyFill="1" applyBorder="1" applyAlignment="1">
      <alignment vertical="center"/>
    </xf>
    <xf numFmtId="172" fontId="0" fillId="11" borderId="1" xfId="0" applyNumberFormat="1" applyFont="1" applyFill="1" applyBorder="1" applyAlignment="1">
      <alignment vertical="center" wrapText="1"/>
    </xf>
    <xf numFmtId="166" fontId="0" fillId="12" borderId="1" xfId="2" applyNumberFormat="1" applyFont="1" applyFill="1" applyBorder="1" applyAlignment="1">
      <alignment vertical="center"/>
    </xf>
    <xf numFmtId="0" fontId="12" fillId="12" borderId="1" xfId="0" applyFont="1" applyFill="1" applyBorder="1" applyAlignment="1">
      <alignment horizontal="center" vertical="center" wrapText="1"/>
    </xf>
    <xf numFmtId="1" fontId="12" fillId="12" borderId="1" xfId="1" applyNumberFormat="1" applyFont="1" applyFill="1" applyBorder="1" applyAlignment="1">
      <alignment horizontal="center" vertical="center"/>
    </xf>
    <xf numFmtId="169" fontId="12" fillId="12" borderId="1" xfId="1" applyNumberFormat="1" applyFont="1" applyFill="1" applyBorder="1" applyAlignment="1">
      <alignment horizontal="right" vertical="center"/>
    </xf>
    <xf numFmtId="9" fontId="12" fillId="12" borderId="1" xfId="2" applyFont="1" applyFill="1" applyBorder="1" applyAlignment="1">
      <alignment vertical="center"/>
    </xf>
    <xf numFmtId="166" fontId="12" fillId="12" borderId="1" xfId="1" applyNumberFormat="1" applyFont="1" applyFill="1" applyBorder="1" applyAlignment="1">
      <alignment vertical="center"/>
    </xf>
    <xf numFmtId="41" fontId="12" fillId="12" borderId="1" xfId="0" applyNumberFormat="1" applyFont="1" applyFill="1" applyBorder="1" applyAlignment="1">
      <alignment horizontal="center" vertical="center"/>
    </xf>
    <xf numFmtId="41" fontId="12" fillId="12" borderId="1" xfId="0" applyNumberFormat="1" applyFont="1" applyFill="1" applyBorder="1" applyAlignment="1">
      <alignment horizontal="center" wrapText="1"/>
    </xf>
    <xf numFmtId="1" fontId="12" fillId="12" borderId="1" xfId="0" applyNumberFormat="1" applyFont="1" applyFill="1" applyBorder="1" applyAlignment="1">
      <alignment horizontal="center" vertical="center"/>
    </xf>
    <xf numFmtId="172" fontId="21" fillId="12" borderId="0" xfId="0" applyNumberFormat="1" applyFont="1" applyFill="1"/>
    <xf numFmtId="0" fontId="21" fillId="12" borderId="0" xfId="0" applyFont="1" applyFill="1"/>
    <xf numFmtId="166" fontId="12" fillId="12" borderId="1" xfId="1" applyNumberFormat="1" applyFont="1" applyFill="1" applyBorder="1" applyAlignment="1">
      <alignment horizontal="right" vertical="center"/>
    </xf>
    <xf numFmtId="0" fontId="12" fillId="12" borderId="1" xfId="1" applyNumberFormat="1" applyFont="1" applyFill="1" applyBorder="1" applyAlignment="1">
      <alignment horizontal="center" vertical="center"/>
    </xf>
    <xf numFmtId="0" fontId="12" fillId="12" borderId="1" xfId="0" applyFont="1" applyFill="1" applyBorder="1" applyAlignment="1">
      <alignment horizontal="right" vertical="center"/>
    </xf>
    <xf numFmtId="41" fontId="12" fillId="12" borderId="1" xfId="0" applyNumberFormat="1" applyFont="1" applyFill="1" applyBorder="1" applyAlignment="1">
      <alignment horizontal="center"/>
    </xf>
    <xf numFmtId="0" fontId="12" fillId="12" borderId="1" xfId="0" applyFont="1" applyFill="1" applyBorder="1" applyAlignment="1">
      <alignment horizontal="center" vertical="center"/>
    </xf>
    <xf numFmtId="0" fontId="12" fillId="8" borderId="1" xfId="0" applyFont="1" applyFill="1" applyBorder="1" applyAlignment="1">
      <alignment horizontal="left" vertical="center" wrapText="1"/>
    </xf>
    <xf numFmtId="0" fontId="12" fillId="8" borderId="1" xfId="0" applyFont="1" applyFill="1" applyBorder="1" applyAlignment="1">
      <alignment horizontal="center" vertical="center" wrapText="1"/>
    </xf>
    <xf numFmtId="9" fontId="12" fillId="8" borderId="1" xfId="2" applyFont="1" applyFill="1" applyBorder="1" applyAlignment="1">
      <alignment vertical="center"/>
    </xf>
    <xf numFmtId="166" fontId="12" fillId="8" borderId="1" xfId="1" applyNumberFormat="1" applyFont="1" applyFill="1" applyBorder="1" applyAlignment="1">
      <alignment vertical="center"/>
    </xf>
    <xf numFmtId="1" fontId="12" fillId="8" borderId="1" xfId="0" applyNumberFormat="1" applyFont="1" applyFill="1" applyBorder="1" applyAlignment="1">
      <alignment horizontal="center" vertical="center"/>
    </xf>
    <xf numFmtId="0" fontId="21" fillId="8" borderId="0" xfId="0" applyFont="1" applyFill="1"/>
    <xf numFmtId="43" fontId="15" fillId="0" borderId="26" xfId="1" applyNumberFormat="1" applyFont="1" applyBorder="1" applyAlignment="1">
      <alignment horizontal="center" vertical="center"/>
    </xf>
    <xf numFmtId="43" fontId="15" fillId="0" borderId="5" xfId="1" applyNumberFormat="1" applyFont="1" applyBorder="1" applyAlignment="1">
      <alignment horizontal="center" vertical="center"/>
    </xf>
    <xf numFmtId="43" fontId="15" fillId="0" borderId="2" xfId="1" applyNumberFormat="1" applyFont="1" applyBorder="1" applyAlignment="1">
      <alignment horizontal="center" vertical="center"/>
    </xf>
    <xf numFmtId="167" fontId="0" fillId="0" borderId="0" xfId="0" applyNumberFormat="1"/>
    <xf numFmtId="4" fontId="0" fillId="0" borderId="0" xfId="0" applyNumberFormat="1"/>
    <xf numFmtId="4" fontId="12" fillId="3" borderId="35" xfId="0" applyNumberFormat="1" applyFont="1" applyFill="1" applyBorder="1" applyAlignment="1">
      <alignment horizontal="right" vertical="center"/>
    </xf>
    <xf numFmtId="43" fontId="22" fillId="0" borderId="0" xfId="0" applyNumberFormat="1" applyFont="1" applyFill="1" applyBorder="1" applyAlignment="1">
      <alignment horizontal="left" vertical="top" wrapText="1"/>
    </xf>
    <xf numFmtId="172" fontId="4" fillId="0" borderId="0" xfId="0" applyNumberFormat="1" applyFont="1" applyFill="1" applyBorder="1" applyAlignment="1">
      <alignment horizontal="left" vertical="center" wrapText="1"/>
    </xf>
    <xf numFmtId="4" fontId="0" fillId="0" borderId="0" xfId="0" applyNumberFormat="1" applyAlignment="1">
      <alignment vertical="center"/>
    </xf>
    <xf numFmtId="0" fontId="0" fillId="0" borderId="0" xfId="0" applyAlignment="1">
      <alignment vertical="center"/>
    </xf>
    <xf numFmtId="165" fontId="0" fillId="0" borderId="1" xfId="2" applyNumberFormat="1" applyFont="1" applyBorder="1" applyAlignment="1">
      <alignment vertical="center"/>
    </xf>
    <xf numFmtId="174" fontId="0" fillId="0" borderId="1" xfId="5" applyNumberFormat="1" applyFont="1" applyFill="1" applyBorder="1" applyAlignment="1">
      <alignment horizontal="right" vertical="center"/>
    </xf>
    <xf numFmtId="0" fontId="26" fillId="12" borderId="41" xfId="0" applyFont="1" applyFill="1" applyBorder="1" applyAlignment="1">
      <alignment horizontal="left" vertical="center" wrapText="1"/>
    </xf>
    <xf numFmtId="0" fontId="0" fillId="3" borderId="47" xfId="0" applyFont="1" applyFill="1" applyBorder="1" applyAlignment="1">
      <alignment horizontal="left" vertical="center"/>
    </xf>
    <xf numFmtId="0" fontId="26" fillId="12" borderId="1" xfId="0" applyFont="1" applyFill="1" applyBorder="1" applyAlignment="1">
      <alignment horizontal="left" vertical="center" wrapText="1"/>
    </xf>
    <xf numFmtId="0" fontId="21" fillId="12" borderId="1" xfId="0" applyFont="1" applyFill="1" applyBorder="1" applyAlignment="1">
      <alignment horizontal="right" vertical="center"/>
    </xf>
    <xf numFmtId="0" fontId="12" fillId="3" borderId="1" xfId="0" applyFont="1" applyFill="1" applyBorder="1" applyAlignment="1">
      <alignment horizontal="right" vertical="center"/>
    </xf>
    <xf numFmtId="0" fontId="3" fillId="3" borderId="1" xfId="0" applyFont="1" applyFill="1" applyBorder="1" applyAlignment="1">
      <alignment horizontal="right" vertical="center"/>
    </xf>
    <xf numFmtId="0" fontId="2" fillId="3" borderId="1" xfId="0" applyFont="1" applyFill="1" applyBorder="1" applyAlignment="1">
      <alignment horizontal="center" vertical="center" wrapText="1"/>
    </xf>
    <xf numFmtId="166" fontId="2" fillId="3" borderId="1" xfId="1" applyNumberFormat="1" applyFont="1" applyFill="1" applyBorder="1" applyAlignment="1">
      <alignment vertical="center"/>
    </xf>
    <xf numFmtId="43" fontId="2" fillId="3" borderId="1" xfId="1" applyFont="1" applyFill="1" applyBorder="1" applyAlignment="1">
      <alignment vertical="center"/>
    </xf>
    <xf numFmtId="167" fontId="3" fillId="3" borderId="1" xfId="1" applyNumberFormat="1" applyFont="1" applyFill="1" applyBorder="1" applyAlignment="1">
      <alignment vertical="center"/>
    </xf>
    <xf numFmtId="167" fontId="3" fillId="3" borderId="1" xfId="0" applyNumberFormat="1" applyFont="1" applyFill="1" applyBorder="1" applyAlignment="1">
      <alignment vertical="center"/>
    </xf>
    <xf numFmtId="0" fontId="2" fillId="3" borderId="1" xfId="0" applyFont="1" applyFill="1" applyBorder="1" applyAlignment="1">
      <alignment horizontal="center" vertical="center"/>
    </xf>
    <xf numFmtId="0" fontId="7" fillId="0" borderId="0" xfId="0" applyFont="1" applyFill="1" applyBorder="1" applyAlignment="1">
      <alignment vertical="center" wrapText="1"/>
    </xf>
    <xf numFmtId="0" fontId="26" fillId="0" borderId="35" xfId="0" applyFont="1" applyBorder="1" applyAlignment="1">
      <alignment vertical="center"/>
    </xf>
    <xf numFmtId="0" fontId="26" fillId="0" borderId="49" xfId="0" applyFont="1" applyBorder="1" applyAlignment="1">
      <alignment vertical="center"/>
    </xf>
    <xf numFmtId="0" fontId="27" fillId="0" borderId="31" xfId="0" applyFont="1" applyBorder="1" applyAlignment="1">
      <alignment vertical="center"/>
    </xf>
    <xf numFmtId="3" fontId="27" fillId="0" borderId="50" xfId="0" applyNumberFormat="1" applyFont="1" applyBorder="1" applyAlignment="1">
      <alignment horizontal="right" vertical="center"/>
    </xf>
    <xf numFmtId="0" fontId="27" fillId="0" borderId="50" xfId="0" applyFont="1" applyBorder="1" applyAlignment="1">
      <alignment horizontal="right" vertical="center"/>
    </xf>
    <xf numFmtId="0" fontId="27" fillId="0" borderId="31" xfId="0" applyFont="1" applyBorder="1" applyAlignment="1">
      <alignment vertical="center" wrapText="1"/>
    </xf>
    <xf numFmtId="0" fontId="26" fillId="0" borderId="31" xfId="0" applyFont="1" applyBorder="1" applyAlignment="1">
      <alignment vertical="center"/>
    </xf>
    <xf numFmtId="0" fontId="26" fillId="0" borderId="50" xfId="0" applyFont="1" applyBorder="1" applyAlignment="1">
      <alignment vertical="center"/>
    </xf>
    <xf numFmtId="3" fontId="26" fillId="0" borderId="50" xfId="0" applyNumberFormat="1" applyFont="1" applyBorder="1" applyAlignment="1">
      <alignment horizontal="right" vertical="center"/>
    </xf>
    <xf numFmtId="0" fontId="4" fillId="0" borderId="0" xfId="0" applyFont="1" applyFill="1" applyBorder="1" applyAlignment="1">
      <alignment horizontal="left" vertical="center" wrapText="1"/>
    </xf>
    <xf numFmtId="0" fontId="14" fillId="0" borderId="50" xfId="0" applyFont="1" applyBorder="1" applyAlignment="1">
      <alignment vertical="center"/>
    </xf>
    <xf numFmtId="0" fontId="14" fillId="10" borderId="50" xfId="0" applyFont="1" applyFill="1" applyBorder="1" applyAlignment="1">
      <alignment vertical="center"/>
    </xf>
    <xf numFmtId="0" fontId="27" fillId="0" borderId="50" xfId="0" applyFont="1" applyBorder="1" applyAlignment="1">
      <alignment vertical="center"/>
    </xf>
    <xf numFmtId="3" fontId="0" fillId="0" borderId="0" xfId="0" applyNumberFormat="1"/>
    <xf numFmtId="0" fontId="26" fillId="10" borderId="31" xfId="0" applyFont="1" applyFill="1" applyBorder="1" applyAlignment="1">
      <alignment vertical="center"/>
    </xf>
    <xf numFmtId="0" fontId="26" fillId="10" borderId="50" xfId="0" applyFont="1" applyFill="1" applyBorder="1" applyAlignment="1">
      <alignment vertical="center"/>
    </xf>
    <xf numFmtId="3" fontId="26" fillId="10" borderId="50" xfId="0" applyNumberFormat="1" applyFont="1" applyFill="1" applyBorder="1" applyAlignment="1">
      <alignment horizontal="right" vertical="center"/>
    </xf>
    <xf numFmtId="0" fontId="26" fillId="0" borderId="31" xfId="0" applyFont="1" applyBorder="1" applyAlignment="1">
      <alignment vertical="center" wrapText="1"/>
    </xf>
    <xf numFmtId="43" fontId="0" fillId="0" borderId="0" xfId="0" applyNumberFormat="1"/>
    <xf numFmtId="43" fontId="33" fillId="0" borderId="0" xfId="0" applyNumberFormat="1" applyFont="1"/>
    <xf numFmtId="165" fontId="0" fillId="0" borderId="0" xfId="0" applyNumberFormat="1" applyAlignment="1">
      <alignment vertical="center"/>
    </xf>
    <xf numFmtId="4" fontId="12" fillId="0" borderId="0" xfId="0" applyNumberFormat="1" applyFont="1" applyFill="1" applyAlignment="1">
      <alignment vertical="center"/>
    </xf>
    <xf numFmtId="43" fontId="0" fillId="0" borderId="0" xfId="0" applyNumberFormat="1" applyFont="1" applyFill="1" applyBorder="1" applyAlignment="1">
      <alignment horizontal="left" vertical="top" wrapText="1"/>
    </xf>
    <xf numFmtId="172" fontId="0" fillId="0" borderId="0" xfId="0" applyNumberFormat="1" applyFont="1" applyFill="1"/>
    <xf numFmtId="0" fontId="0" fillId="0" borderId="0" xfId="0" applyFont="1" applyFill="1"/>
    <xf numFmtId="0" fontId="12" fillId="12" borderId="1" xfId="0" applyFont="1" applyFill="1" applyBorder="1" applyAlignment="1">
      <alignment vertical="center" wrapText="1"/>
    </xf>
    <xf numFmtId="0" fontId="3" fillId="0" borderId="1" xfId="0" applyFont="1" applyFill="1" applyBorder="1" applyAlignment="1">
      <alignment horizontal="center" vertical="center"/>
    </xf>
    <xf numFmtId="4" fontId="3" fillId="3" borderId="1" xfId="1" applyNumberFormat="1" applyFont="1" applyFill="1" applyBorder="1" applyAlignment="1">
      <alignment vertical="center"/>
    </xf>
    <xf numFmtId="0" fontId="2" fillId="0" borderId="1" xfId="4" applyFont="1" applyFill="1" applyBorder="1" applyAlignment="1">
      <alignment horizontal="center" vertical="center"/>
    </xf>
    <xf numFmtId="166" fontId="2" fillId="0" borderId="1" xfId="1" applyNumberFormat="1" applyFont="1" applyFill="1" applyBorder="1" applyAlignment="1">
      <alignment vertical="center" wrapText="1"/>
    </xf>
    <xf numFmtId="0" fontId="0" fillId="0" borderId="20" xfId="0" applyFont="1" applyFill="1" applyBorder="1" applyAlignment="1">
      <alignment horizontal="left" vertical="center" wrapText="1"/>
    </xf>
    <xf numFmtId="172" fontId="10" fillId="0" borderId="0" xfId="0" applyNumberFormat="1" applyFont="1" applyFill="1" applyBorder="1" applyAlignment="1">
      <alignment horizontal="left" vertical="center" wrapText="1"/>
    </xf>
    <xf numFmtId="0" fontId="10" fillId="0" borderId="0" xfId="0" applyFont="1" applyFill="1"/>
    <xf numFmtId="0" fontId="2" fillId="0" borderId="1" xfId="0" applyFont="1" applyFill="1" applyBorder="1" applyAlignment="1">
      <alignment horizontal="center" vertical="center"/>
    </xf>
    <xf numFmtId="3" fontId="2" fillId="0" borderId="1" xfId="1" applyNumberFormat="1" applyFont="1" applyFill="1" applyBorder="1" applyAlignment="1">
      <alignment vertical="center"/>
    </xf>
    <xf numFmtId="0" fontId="0" fillId="0" borderId="0" xfId="0" applyFont="1" applyFill="1" applyBorder="1" applyAlignment="1">
      <alignment horizontal="left" vertical="top" wrapText="1"/>
    </xf>
    <xf numFmtId="41" fontId="0" fillId="0" borderId="1" xfId="0" applyNumberFormat="1" applyFont="1" applyFill="1" applyBorder="1" applyAlignment="1">
      <alignment horizontal="center" vertical="center" wrapText="1"/>
    </xf>
    <xf numFmtId="0" fontId="0" fillId="0" borderId="41" xfId="0" applyFont="1" applyFill="1" applyBorder="1" applyAlignment="1">
      <alignment horizontal="left" vertical="center" wrapText="1"/>
    </xf>
    <xf numFmtId="175" fontId="2" fillId="0" borderId="0" xfId="4" applyNumberFormat="1" applyFont="1" applyFill="1" applyAlignment="1">
      <alignment horizontal="center" vertical="center"/>
    </xf>
    <xf numFmtId="0" fontId="10" fillId="0" borderId="1" xfId="0" applyFont="1" applyFill="1" applyBorder="1" applyAlignment="1">
      <alignment horizontal="left" vertical="top" wrapText="1"/>
    </xf>
    <xf numFmtId="166" fontId="2" fillId="0" borderId="1" xfId="1"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0" fontId="0" fillId="0" borderId="1" xfId="4" applyFont="1" applyFill="1" applyBorder="1" applyAlignment="1">
      <alignment vertical="center" wrapText="1"/>
    </xf>
    <xf numFmtId="41" fontId="2" fillId="0" borderId="1" xfId="0" applyNumberFormat="1" applyFont="1" applyFill="1" applyBorder="1" applyAlignment="1">
      <alignment horizontal="center" vertical="center" wrapText="1"/>
    </xf>
    <xf numFmtId="1" fontId="12" fillId="0" borderId="1" xfId="0" applyNumberFormat="1" applyFont="1" applyFill="1" applyBorder="1" applyAlignment="1">
      <alignment horizontal="center" vertical="center"/>
    </xf>
    <xf numFmtId="0" fontId="0" fillId="0" borderId="20" xfId="0" applyFont="1" applyFill="1" applyBorder="1" applyAlignment="1">
      <alignment horizontal="justify" vertical="center" wrapText="1"/>
    </xf>
    <xf numFmtId="0" fontId="12" fillId="0" borderId="1" xfId="0" applyFont="1" applyFill="1" applyBorder="1" applyAlignment="1">
      <alignment horizontal="right" vertical="center" wrapText="1"/>
    </xf>
    <xf numFmtId="0" fontId="7" fillId="0" borderId="0" xfId="0" applyFont="1" applyFill="1"/>
    <xf numFmtId="43" fontId="0" fillId="0" borderId="1" xfId="5" applyFont="1" applyFill="1" applyBorder="1" applyAlignment="1">
      <alignment vertical="center"/>
    </xf>
    <xf numFmtId="166" fontId="2" fillId="0" borderId="16" xfId="1" applyNumberFormat="1" applyFont="1" applyFill="1" applyBorder="1" applyAlignment="1">
      <alignment vertical="center"/>
    </xf>
    <xf numFmtId="166" fontId="2" fillId="0" borderId="17" xfId="1" applyNumberFormat="1" applyFont="1" applyFill="1" applyBorder="1" applyAlignment="1">
      <alignment vertical="center"/>
    </xf>
    <xf numFmtId="166" fontId="2" fillId="0" borderId="18" xfId="1" applyNumberFormat="1" applyFont="1" applyFill="1" applyBorder="1" applyAlignment="1">
      <alignment vertical="center"/>
    </xf>
    <xf numFmtId="166" fontId="2" fillId="0" borderId="15" xfId="1" applyNumberFormat="1" applyFont="1" applyFill="1" applyBorder="1" applyAlignment="1">
      <alignment vertical="center"/>
    </xf>
    <xf numFmtId="0" fontId="0" fillId="0" borderId="1" xfId="0" applyFont="1" applyFill="1" applyBorder="1" applyAlignment="1">
      <alignment horizontal="justify" vertical="center" wrapText="1"/>
    </xf>
    <xf numFmtId="166" fontId="2" fillId="0" borderId="17" xfId="5" applyNumberFormat="1" applyFont="1" applyFill="1" applyBorder="1" applyAlignment="1">
      <alignment vertical="center"/>
    </xf>
    <xf numFmtId="41" fontId="2" fillId="0" borderId="16" xfId="0" applyNumberFormat="1" applyFont="1" applyFill="1" applyBorder="1" applyAlignment="1">
      <alignment horizontal="center" vertical="center"/>
    </xf>
    <xf numFmtId="1" fontId="2" fillId="0" borderId="15" xfId="0" applyNumberFormat="1" applyFont="1" applyFill="1" applyBorder="1" applyAlignment="1">
      <alignment horizontal="center" vertical="center"/>
    </xf>
    <xf numFmtId="0" fontId="2" fillId="3" borderId="2" xfId="0" applyFont="1" applyFill="1" applyBorder="1" applyAlignment="1">
      <alignment horizontal="center" vertical="center"/>
    </xf>
    <xf numFmtId="167" fontId="27" fillId="0" borderId="50" xfId="0" applyNumberFormat="1" applyFont="1" applyBorder="1" applyAlignment="1">
      <alignment horizontal="right" vertical="center"/>
    </xf>
    <xf numFmtId="4" fontId="27" fillId="0" borderId="50" xfId="0" applyNumberFormat="1" applyFont="1" applyBorder="1" applyAlignment="1">
      <alignment horizontal="right" vertical="center"/>
    </xf>
    <xf numFmtId="167" fontId="26" fillId="0" borderId="50" xfId="0" applyNumberFormat="1" applyFont="1" applyBorder="1" applyAlignment="1">
      <alignment horizontal="right" vertical="center"/>
    </xf>
    <xf numFmtId="0" fontId="27" fillId="0" borderId="31" xfId="0" applyFont="1" applyBorder="1" applyAlignment="1">
      <alignment horizontal="left" vertical="top"/>
    </xf>
    <xf numFmtId="0" fontId="14" fillId="0" borderId="50" xfId="0" applyFont="1" applyFill="1" applyBorder="1" applyAlignment="1">
      <alignment vertical="center"/>
    </xf>
    <xf numFmtId="0" fontId="27" fillId="0" borderId="50" xfId="0" applyFont="1" applyFill="1" applyBorder="1" applyAlignment="1">
      <alignment horizontal="right" vertical="center"/>
    </xf>
    <xf numFmtId="0" fontId="37" fillId="0" borderId="0" xfId="0" applyFont="1"/>
    <xf numFmtId="0" fontId="0" fillId="0" borderId="0" xfId="0" applyFont="1"/>
    <xf numFmtId="0" fontId="37" fillId="0" borderId="0" xfId="0" applyFont="1" applyAlignment="1">
      <alignment horizontal="center"/>
    </xf>
    <xf numFmtId="0" fontId="37" fillId="0" borderId="0" xfId="0" applyFont="1" applyAlignment="1">
      <alignment horizontal="center"/>
    </xf>
    <xf numFmtId="0" fontId="3" fillId="0" borderId="1" xfId="0" applyFont="1" applyFill="1" applyBorder="1" applyAlignment="1">
      <alignment vertical="center" wrapText="1"/>
    </xf>
    <xf numFmtId="0" fontId="26" fillId="0" borderId="0" xfId="0" applyFont="1" applyBorder="1" applyAlignment="1">
      <alignment vertical="center"/>
    </xf>
    <xf numFmtId="3" fontId="26" fillId="0" borderId="0" xfId="0" applyNumberFormat="1" applyFont="1" applyBorder="1" applyAlignment="1">
      <alignment horizontal="right" vertical="center"/>
    </xf>
    <xf numFmtId="0" fontId="26" fillId="0" borderId="1" xfId="0" applyFont="1" applyBorder="1" applyAlignment="1">
      <alignment vertical="center"/>
    </xf>
    <xf numFmtId="3" fontId="27" fillId="0" borderId="1" xfId="0" applyNumberFormat="1" applyFont="1" applyBorder="1" applyAlignment="1">
      <alignment horizontal="right" vertical="center"/>
    </xf>
    <xf numFmtId="167" fontId="26" fillId="0" borderId="0" xfId="0" applyNumberFormat="1" applyFont="1" applyBorder="1" applyAlignment="1">
      <alignment horizontal="right" vertical="center"/>
    </xf>
    <xf numFmtId="4" fontId="26" fillId="0" borderId="50" xfId="0" applyNumberFormat="1" applyFont="1" applyBorder="1" applyAlignment="1">
      <alignment horizontal="right" vertical="center"/>
    </xf>
    <xf numFmtId="0" fontId="26" fillId="0" borderId="0" xfId="0" applyFont="1" applyFill="1" applyBorder="1" applyAlignment="1">
      <alignment vertical="center"/>
    </xf>
    <xf numFmtId="0" fontId="0" fillId="0" borderId="0" xfId="0" applyBorder="1"/>
    <xf numFmtId="0" fontId="26" fillId="0" borderId="0" xfId="0" applyFont="1" applyBorder="1" applyAlignment="1">
      <alignment vertical="center" wrapText="1"/>
    </xf>
    <xf numFmtId="0" fontId="26" fillId="0" borderId="1" xfId="0" applyFont="1" applyBorder="1" applyAlignment="1">
      <alignment vertical="center" wrapText="1"/>
    </xf>
    <xf numFmtId="0" fontId="27" fillId="0" borderId="1" xfId="0" applyFont="1" applyBorder="1" applyAlignment="1">
      <alignment vertical="center"/>
    </xf>
    <xf numFmtId="1" fontId="27" fillId="0" borderId="1" xfId="0" applyNumberFormat="1" applyFont="1" applyBorder="1" applyAlignment="1">
      <alignment vertical="center"/>
    </xf>
    <xf numFmtId="0" fontId="27" fillId="0" borderId="1" xfId="0" applyFont="1" applyBorder="1" applyAlignment="1">
      <alignment vertical="center" wrapText="1"/>
    </xf>
    <xf numFmtId="3" fontId="27" fillId="0" borderId="1" xfId="0" applyNumberFormat="1" applyFont="1" applyBorder="1" applyAlignment="1">
      <alignment horizontal="right" vertical="center" wrapText="1"/>
    </xf>
    <xf numFmtId="3" fontId="26" fillId="0" borderId="1" xfId="0" applyNumberFormat="1" applyFont="1" applyBorder="1" applyAlignment="1">
      <alignment vertical="center" wrapText="1"/>
    </xf>
    <xf numFmtId="0" fontId="27" fillId="0" borderId="0" xfId="0" applyFont="1" applyFill="1" applyBorder="1" applyAlignment="1">
      <alignment vertical="center" wrapText="1"/>
    </xf>
    <xf numFmtId="0" fontId="26" fillId="10" borderId="54" xfId="0" applyFont="1" applyFill="1" applyBorder="1" applyAlignment="1">
      <alignment vertical="center"/>
    </xf>
    <xf numFmtId="164" fontId="0" fillId="0" borderId="0" xfId="0" applyNumberFormat="1"/>
    <xf numFmtId="177" fontId="12" fillId="3" borderId="35" xfId="0" applyNumberFormat="1" applyFont="1" applyFill="1" applyBorder="1" applyAlignment="1">
      <alignment horizontal="right" vertical="center"/>
    </xf>
    <xf numFmtId="0" fontId="0" fillId="0" borderId="0" xfId="0" applyFont="1" applyFill="1" applyBorder="1" applyAlignment="1">
      <alignment horizontal="left" vertical="center" wrapText="1"/>
    </xf>
    <xf numFmtId="0" fontId="38" fillId="0" borderId="0" xfId="0" applyFont="1" applyAlignment="1">
      <alignment wrapText="1"/>
    </xf>
    <xf numFmtId="0" fontId="38" fillId="0" borderId="0" xfId="0" applyFont="1"/>
    <xf numFmtId="0" fontId="38" fillId="0" borderId="0" xfId="0" applyFont="1" applyBorder="1" applyAlignment="1">
      <alignment vertical="center"/>
    </xf>
    <xf numFmtId="0" fontId="38" fillId="0" borderId="0" xfId="0" applyFont="1" applyFill="1" applyBorder="1" applyAlignment="1">
      <alignment horizontal="left" vertical="center"/>
    </xf>
    <xf numFmtId="0" fontId="26" fillId="0" borderId="1" xfId="0" applyFont="1" applyBorder="1" applyAlignment="1">
      <alignment horizontal="center" vertical="center" wrapText="1"/>
    </xf>
    <xf numFmtId="0" fontId="26" fillId="0" borderId="1" xfId="0" applyFont="1" applyBorder="1" applyAlignment="1">
      <alignment horizontal="center" vertical="center"/>
    </xf>
    <xf numFmtId="3" fontId="27" fillId="0" borderId="50" xfId="0" applyNumberFormat="1" applyFont="1" applyFill="1" applyBorder="1" applyAlignment="1">
      <alignment horizontal="right" vertical="center"/>
    </xf>
    <xf numFmtId="0" fontId="27" fillId="0" borderId="0" xfId="0" applyFont="1" applyBorder="1" applyAlignment="1">
      <alignment vertical="center"/>
    </xf>
    <xf numFmtId="0" fontId="21" fillId="0" borderId="1" xfId="0" applyFont="1" applyBorder="1" applyAlignment="1">
      <alignment vertical="center"/>
    </xf>
    <xf numFmtId="0" fontId="32" fillId="0" borderId="53" xfId="0" applyFont="1" applyFill="1" applyBorder="1" applyAlignment="1">
      <alignment vertical="center" wrapText="1"/>
    </xf>
    <xf numFmtId="0" fontId="32" fillId="0" borderId="0" xfId="0" applyFont="1" applyFill="1" applyBorder="1" applyAlignment="1">
      <alignment vertical="center" wrapText="1"/>
    </xf>
    <xf numFmtId="0" fontId="21" fillId="0" borderId="0" xfId="0" applyFont="1" applyBorder="1" applyAlignment="1">
      <alignment vertical="center"/>
    </xf>
    <xf numFmtId="0" fontId="26" fillId="0" borderId="56" xfId="0" applyFont="1" applyBorder="1" applyAlignment="1">
      <alignment vertical="center"/>
    </xf>
    <xf numFmtId="0" fontId="26" fillId="0" borderId="0" xfId="0" applyFont="1" applyFill="1" applyBorder="1" applyAlignment="1">
      <alignment horizontal="left" vertical="center" wrapText="1"/>
    </xf>
    <xf numFmtId="3" fontId="27" fillId="0" borderId="0" xfId="0" applyNumberFormat="1" applyFont="1" applyBorder="1" applyAlignment="1">
      <alignment horizontal="right" vertical="center"/>
    </xf>
    <xf numFmtId="0" fontId="12"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12" fillId="0" borderId="1" xfId="0" applyFont="1" applyBorder="1" applyAlignment="1">
      <alignment horizontal="center"/>
    </xf>
    <xf numFmtId="3" fontId="26" fillId="0" borderId="0" xfId="0" applyNumberFormat="1" applyFont="1" applyBorder="1" applyAlignment="1">
      <alignment vertical="center" wrapText="1"/>
    </xf>
    <xf numFmtId="3" fontId="27" fillId="0" borderId="57" xfId="0" applyNumberFormat="1" applyFont="1" applyBorder="1" applyAlignment="1">
      <alignment horizontal="right" vertical="center"/>
    </xf>
    <xf numFmtId="0" fontId="12" fillId="0" borderId="1" xfId="0" applyFont="1" applyBorder="1"/>
    <xf numFmtId="3" fontId="12" fillId="0" borderId="1" xfId="0" applyNumberFormat="1" applyFont="1" applyBorder="1"/>
    <xf numFmtId="166" fontId="21" fillId="12" borderId="1" xfId="0" applyNumberFormat="1" applyFont="1" applyFill="1" applyBorder="1" applyAlignment="1">
      <alignment horizontal="right" vertical="center" wrapText="1"/>
    </xf>
    <xf numFmtId="0" fontId="12" fillId="8" borderId="1" xfId="0" applyFont="1" applyFill="1" applyBorder="1" applyAlignment="1">
      <alignment vertical="center" wrapText="1"/>
    </xf>
    <xf numFmtId="0" fontId="12" fillId="8" borderId="1" xfId="0" applyFont="1" applyFill="1" applyBorder="1" applyAlignment="1">
      <alignment horizontal="right" vertical="center" wrapText="1"/>
    </xf>
    <xf numFmtId="9" fontId="12" fillId="8" borderId="1" xfId="3" applyFont="1" applyFill="1" applyBorder="1" applyAlignment="1">
      <alignment vertical="center"/>
    </xf>
    <xf numFmtId="43" fontId="12" fillId="8" borderId="1" xfId="1" applyFont="1" applyFill="1" applyBorder="1" applyAlignment="1">
      <alignment vertical="center"/>
    </xf>
    <xf numFmtId="172" fontId="12" fillId="8" borderId="1" xfId="0" applyNumberFormat="1" applyFont="1" applyFill="1" applyBorder="1" applyAlignment="1">
      <alignment vertical="center" wrapText="1"/>
    </xf>
    <xf numFmtId="0" fontId="12" fillId="8" borderId="1" xfId="0" applyFont="1" applyFill="1" applyBorder="1" applyAlignment="1">
      <alignment horizontal="center" vertical="center"/>
    </xf>
    <xf numFmtId="43" fontId="21" fillId="0" borderId="0" xfId="0" applyNumberFormat="1" applyFont="1" applyFill="1" applyBorder="1" applyAlignment="1">
      <alignment horizontal="left" vertical="top" wrapText="1"/>
    </xf>
    <xf numFmtId="1" fontId="12" fillId="8" borderId="1" xfId="0" applyNumberFormat="1" applyFont="1" applyFill="1" applyBorder="1" applyAlignment="1">
      <alignment horizontal="center" vertical="center" wrapText="1"/>
    </xf>
    <xf numFmtId="166" fontId="12" fillId="8" borderId="1" xfId="5" applyNumberFormat="1" applyFont="1" applyFill="1" applyBorder="1" applyAlignment="1">
      <alignment horizontal="right" vertical="center"/>
    </xf>
    <xf numFmtId="166" fontId="12" fillId="8" borderId="1" xfId="5" applyNumberFormat="1" applyFont="1" applyFill="1" applyBorder="1" applyAlignment="1">
      <alignment vertical="center"/>
    </xf>
    <xf numFmtId="166" fontId="12" fillId="8" borderId="1" xfId="1" applyNumberFormat="1" applyFont="1" applyFill="1" applyBorder="1" applyAlignment="1">
      <alignment vertical="center" wrapText="1"/>
    </xf>
    <xf numFmtId="0" fontId="21" fillId="8" borderId="0" xfId="0" applyFont="1" applyFill="1" applyBorder="1" applyAlignment="1">
      <alignment horizontal="left" vertical="top" wrapText="1"/>
    </xf>
    <xf numFmtId="0" fontId="4" fillId="0" borderId="0" xfId="0" applyFont="1" applyFill="1" applyBorder="1" applyAlignment="1">
      <alignment horizontal="left" vertical="center" wrapText="1"/>
    </xf>
    <xf numFmtId="0" fontId="27" fillId="0" borderId="46" xfId="0" applyFont="1" applyBorder="1" applyAlignment="1">
      <alignment vertical="center" wrapText="1"/>
    </xf>
    <xf numFmtId="0" fontId="27" fillId="0" borderId="0" xfId="0" applyFont="1" applyFill="1" applyBorder="1" applyAlignment="1">
      <alignment horizontal="right" vertical="center"/>
    </xf>
    <xf numFmtId="0" fontId="27" fillId="0" borderId="0" xfId="0" applyFont="1" applyBorder="1" applyAlignment="1">
      <alignment horizontal="right" vertical="center"/>
    </xf>
    <xf numFmtId="0" fontId="27" fillId="0" borderId="0" xfId="0" applyFont="1" applyBorder="1" applyAlignment="1">
      <alignment vertical="center" wrapText="1"/>
    </xf>
    <xf numFmtId="167" fontId="26" fillId="0" borderId="1" xfId="0" applyNumberFormat="1" applyFont="1" applyBorder="1" applyAlignment="1">
      <alignment horizontal="right" vertical="center"/>
    </xf>
    <xf numFmtId="4" fontId="26" fillId="0" borderId="1" xfId="0" applyNumberFormat="1" applyFont="1" applyBorder="1" applyAlignment="1">
      <alignment vertical="center"/>
    </xf>
    <xf numFmtId="4" fontId="26" fillId="0" borderId="0" xfId="0" applyNumberFormat="1" applyFont="1" applyBorder="1" applyAlignment="1">
      <alignment vertical="center"/>
    </xf>
    <xf numFmtId="166" fontId="2" fillId="0" borderId="0" xfId="0" applyNumberFormat="1" applyFont="1" applyBorder="1"/>
    <xf numFmtId="0" fontId="26" fillId="10" borderId="0" xfId="0" applyFont="1" applyFill="1" applyBorder="1" applyAlignment="1">
      <alignment vertical="center"/>
    </xf>
    <xf numFmtId="3" fontId="26" fillId="10" borderId="0" xfId="0" applyNumberFormat="1" applyFont="1" applyFill="1" applyBorder="1" applyAlignment="1">
      <alignment horizontal="right" vertical="center"/>
    </xf>
    <xf numFmtId="0" fontId="33" fillId="0" borderId="24" xfId="0" applyFont="1" applyBorder="1" applyAlignment="1">
      <alignment horizontal="center" vertical="center"/>
    </xf>
    <xf numFmtId="0" fontId="41" fillId="0" borderId="21" xfId="0" applyFont="1" applyFill="1" applyBorder="1" applyAlignment="1">
      <alignment horizontal="left" vertical="center" wrapText="1"/>
    </xf>
    <xf numFmtId="165" fontId="33" fillId="0" borderId="22" xfId="0" applyNumberFormat="1" applyFont="1" applyFill="1" applyBorder="1" applyAlignment="1">
      <alignment vertical="center"/>
    </xf>
    <xf numFmtId="165" fontId="33" fillId="0" borderId="44" xfId="0" applyNumberFormat="1" applyFont="1" applyFill="1" applyBorder="1" applyAlignment="1">
      <alignment vertical="center"/>
    </xf>
    <xf numFmtId="165" fontId="40" fillId="0" borderId="21" xfId="0" applyNumberFormat="1" applyFont="1" applyFill="1" applyBorder="1" applyAlignment="1">
      <alignment vertical="center"/>
    </xf>
    <xf numFmtId="43" fontId="33" fillId="0" borderId="23" xfId="1" applyFont="1" applyFill="1" applyBorder="1" applyAlignment="1">
      <alignment horizontal="center" vertical="center"/>
    </xf>
    <xf numFmtId="0" fontId="33" fillId="0" borderId="20" xfId="0" applyFont="1" applyBorder="1" applyAlignment="1">
      <alignment horizontal="center" vertical="center"/>
    </xf>
    <xf numFmtId="0" fontId="41" fillId="0" borderId="19" xfId="0" applyFont="1" applyFill="1" applyBorder="1" applyAlignment="1">
      <alignment horizontal="left" vertical="center" wrapText="1"/>
    </xf>
    <xf numFmtId="43" fontId="33" fillId="0" borderId="18" xfId="1" applyFont="1" applyFill="1" applyBorder="1" applyAlignment="1">
      <alignment horizontal="center" vertical="center"/>
    </xf>
    <xf numFmtId="0" fontId="33" fillId="0" borderId="40" xfId="0" applyFont="1" applyBorder="1" applyAlignment="1">
      <alignment horizontal="center" vertical="center"/>
    </xf>
    <xf numFmtId="0" fontId="41" fillId="0" borderId="13" xfId="0" applyFont="1" applyFill="1" applyBorder="1" applyAlignment="1">
      <alignment horizontal="left" vertical="center" wrapText="1"/>
    </xf>
    <xf numFmtId="43" fontId="33" fillId="0" borderId="14" xfId="1" applyFont="1" applyFill="1" applyBorder="1" applyAlignment="1">
      <alignment horizontal="center" vertical="center"/>
    </xf>
    <xf numFmtId="0" fontId="33" fillId="0" borderId="35" xfId="0" applyFont="1" applyBorder="1" applyAlignment="1">
      <alignment horizontal="center" vertical="center"/>
    </xf>
    <xf numFmtId="0" fontId="40" fillId="0" borderId="32" xfId="0" applyFont="1" applyFill="1" applyBorder="1" applyAlignment="1">
      <alignment vertical="center"/>
    </xf>
    <xf numFmtId="168" fontId="40" fillId="0" borderId="34" xfId="0" applyNumberFormat="1" applyFont="1" applyFill="1" applyBorder="1" applyAlignment="1">
      <alignment vertical="center"/>
    </xf>
    <xf numFmtId="168" fontId="40" fillId="0" borderId="51" xfId="0" applyNumberFormat="1" applyFont="1" applyFill="1" applyBorder="1" applyAlignment="1">
      <alignment vertical="center"/>
    </xf>
    <xf numFmtId="43" fontId="40" fillId="0" borderId="32" xfId="0" applyNumberFormat="1" applyFont="1" applyFill="1" applyBorder="1" applyAlignment="1">
      <alignment vertical="center"/>
    </xf>
    <xf numFmtId="43" fontId="33" fillId="0" borderId="33" xfId="1" applyFont="1" applyFill="1" applyBorder="1" applyAlignment="1">
      <alignment horizontal="center" vertical="center"/>
    </xf>
    <xf numFmtId="0" fontId="33" fillId="0" borderId="1" xfId="0" applyFont="1" applyBorder="1" applyAlignment="1">
      <alignment horizontal="center" vertical="center"/>
    </xf>
    <xf numFmtId="0" fontId="41" fillId="0" borderId="1" xfId="0" applyFont="1" applyFill="1" applyBorder="1" applyAlignment="1">
      <alignment horizontal="left" vertical="center" wrapText="1"/>
    </xf>
    <xf numFmtId="165" fontId="33" fillId="0" borderId="1" xfId="0" applyNumberFormat="1" applyFont="1" applyFill="1" applyBorder="1" applyAlignment="1">
      <alignment vertical="center"/>
    </xf>
    <xf numFmtId="165" fontId="40" fillId="0" borderId="1" xfId="0" applyNumberFormat="1" applyFont="1" applyFill="1" applyBorder="1" applyAlignment="1">
      <alignment vertical="center"/>
    </xf>
    <xf numFmtId="43" fontId="33" fillId="0" borderId="1" xfId="1" applyFont="1" applyFill="1" applyBorder="1" applyAlignment="1">
      <alignment horizontal="center" vertical="center"/>
    </xf>
    <xf numFmtId="165" fontId="40" fillId="10" borderId="1" xfId="0" applyNumberFormat="1" applyFont="1" applyFill="1" applyBorder="1" applyAlignment="1">
      <alignment vertical="center"/>
    </xf>
    <xf numFmtId="43" fontId="40" fillId="10" borderId="1" xfId="0" applyNumberFormat="1" applyFont="1" applyFill="1" applyBorder="1" applyAlignment="1">
      <alignment vertical="center"/>
    </xf>
    <xf numFmtId="0" fontId="26" fillId="0" borderId="58" xfId="0" applyFont="1" applyBorder="1" applyAlignment="1">
      <alignment vertical="center"/>
    </xf>
    <xf numFmtId="0" fontId="26" fillId="0" borderId="59" xfId="0" applyFont="1" applyBorder="1" applyAlignment="1">
      <alignment vertical="center"/>
    </xf>
    <xf numFmtId="0" fontId="14" fillId="0" borderId="1" xfId="0" applyFont="1" applyBorder="1" applyAlignment="1">
      <alignment vertical="center"/>
    </xf>
    <xf numFmtId="0" fontId="14" fillId="0" borderId="1" xfId="0" applyFont="1" applyFill="1" applyBorder="1" applyAlignment="1">
      <alignment vertical="center"/>
    </xf>
    <xf numFmtId="0" fontId="0" fillId="0" borderId="1" xfId="0" applyFont="1" applyFill="1" applyBorder="1" applyAlignment="1">
      <alignment horizontal="left" vertical="center" wrapText="1"/>
    </xf>
    <xf numFmtId="0" fontId="7" fillId="0" borderId="0" xfId="0" applyFont="1" applyFill="1" applyBorder="1" applyAlignment="1">
      <alignment vertical="center" wrapText="1"/>
    </xf>
    <xf numFmtId="166" fontId="2" fillId="0" borderId="43" xfId="1" applyNumberFormat="1" applyFont="1" applyFill="1" applyBorder="1" applyAlignment="1">
      <alignment vertical="center"/>
    </xf>
    <xf numFmtId="166" fontId="2" fillId="0" borderId="44" xfId="1" applyNumberFormat="1" applyFont="1" applyFill="1" applyBorder="1" applyAlignment="1">
      <alignment vertical="center"/>
    </xf>
    <xf numFmtId="0" fontId="3" fillId="0" borderId="45"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5" xfId="0" applyFont="1" applyFill="1" applyBorder="1" applyAlignment="1">
      <alignment horizontal="center" vertical="center" wrapText="1"/>
    </xf>
    <xf numFmtId="0" fontId="0" fillId="0" borderId="20" xfId="0" applyFont="1" applyFill="1" applyBorder="1" applyAlignment="1">
      <alignment horizontal="left" vertical="top" wrapText="1"/>
    </xf>
    <xf numFmtId="0" fontId="21" fillId="0" borderId="1" xfId="0" applyFont="1" applyBorder="1" applyAlignment="1">
      <alignment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wrapText="1"/>
    </xf>
    <xf numFmtId="43" fontId="42" fillId="0" borderId="1" xfId="1" quotePrefix="1" applyFont="1" applyFill="1" applyBorder="1" applyAlignment="1">
      <alignment vertical="center"/>
    </xf>
    <xf numFmtId="4" fontId="21" fillId="0" borderId="1" xfId="0" applyNumberFormat="1" applyFont="1" applyBorder="1" applyAlignment="1">
      <alignment vertical="center" wrapText="1"/>
    </xf>
    <xf numFmtId="0" fontId="0"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43" fontId="6" fillId="0" borderId="1" xfId="1" applyFont="1" applyFill="1" applyBorder="1" applyAlignment="1">
      <alignment vertical="center"/>
    </xf>
    <xf numFmtId="0" fontId="12" fillId="0" borderId="0" xfId="0" applyFont="1"/>
    <xf numFmtId="0" fontId="0" fillId="0" borderId="48"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6" fillId="12" borderId="0" xfId="0" applyFont="1" applyFill="1" applyBorder="1" applyAlignment="1">
      <alignment horizontal="left" vertical="center" wrapText="1"/>
    </xf>
    <xf numFmtId="0" fontId="26" fillId="12" borderId="53" xfId="0" applyFont="1" applyFill="1" applyBorder="1" applyAlignment="1">
      <alignment horizontal="left" vertical="center" wrapText="1"/>
    </xf>
    <xf numFmtId="166" fontId="26" fillId="0" borderId="0" xfId="0" applyNumberFormat="1" applyFont="1" applyBorder="1" applyAlignment="1">
      <alignment vertical="center"/>
    </xf>
    <xf numFmtId="0" fontId="26" fillId="0" borderId="42" xfId="0" applyFont="1" applyBorder="1" applyAlignment="1">
      <alignment vertical="center"/>
    </xf>
    <xf numFmtId="166" fontId="2" fillId="0" borderId="0" xfId="5" applyNumberFormat="1" applyFont="1" applyFill="1" applyBorder="1" applyAlignment="1">
      <alignment vertical="center"/>
    </xf>
    <xf numFmtId="0" fontId="35" fillId="0" borderId="1" xfId="0" applyFont="1" applyFill="1" applyBorder="1" applyAlignment="1">
      <alignment vertical="center" wrapText="1"/>
    </xf>
    <xf numFmtId="0" fontId="27" fillId="0" borderId="20" xfId="0" applyFont="1" applyFill="1" applyBorder="1" applyAlignment="1">
      <alignment horizontal="justify"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horizontal="center" vertical="center" wrapText="1"/>
    </xf>
    <xf numFmtId="1" fontId="22" fillId="0" borderId="1" xfId="1" applyNumberFormat="1" applyFont="1" applyFill="1" applyBorder="1" applyAlignment="1">
      <alignment horizontal="center" vertical="center"/>
    </xf>
    <xf numFmtId="166" fontId="22" fillId="0" borderId="1" xfId="5" applyNumberFormat="1" applyFont="1" applyFill="1" applyBorder="1" applyAlignment="1">
      <alignment vertical="center"/>
    </xf>
    <xf numFmtId="9" fontId="22" fillId="0" borderId="1" xfId="3" applyFont="1" applyFill="1" applyBorder="1" applyAlignment="1">
      <alignment vertical="center"/>
    </xf>
    <xf numFmtId="43" fontId="22" fillId="0" borderId="1" xfId="5" applyFont="1" applyFill="1" applyBorder="1" applyAlignment="1">
      <alignment vertical="center"/>
    </xf>
    <xf numFmtId="166" fontId="22" fillId="0" borderId="1" xfId="1" applyNumberFormat="1" applyFont="1" applyFill="1" applyBorder="1" applyAlignment="1">
      <alignment vertical="center"/>
    </xf>
    <xf numFmtId="41" fontId="22" fillId="0" borderId="1" xfId="0" applyNumberFormat="1" applyFont="1" applyFill="1" applyBorder="1" applyAlignment="1">
      <alignment horizontal="center" vertical="center"/>
    </xf>
    <xf numFmtId="41" fontId="2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26" fillId="0" borderId="56" xfId="0" applyFont="1" applyBorder="1" applyAlignment="1">
      <alignment vertical="center" wrapText="1"/>
    </xf>
    <xf numFmtId="1" fontId="0" fillId="0" borderId="1" xfId="1" applyNumberFormat="1" applyFont="1" applyFill="1" applyBorder="1" applyAlignment="1">
      <alignment horizontal="right" vertical="center"/>
    </xf>
    <xf numFmtId="167" fontId="26" fillId="2" borderId="0" xfId="0" applyNumberFormat="1" applyFont="1" applyFill="1" applyBorder="1" applyAlignment="1">
      <alignment horizontal="right" vertical="center"/>
    </xf>
    <xf numFmtId="167" fontId="26" fillId="2" borderId="1" xfId="0" applyNumberFormat="1" applyFont="1" applyFill="1" applyBorder="1" applyAlignment="1">
      <alignment horizontal="right" vertical="center"/>
    </xf>
    <xf numFmtId="166" fontId="6" fillId="4" borderId="1" xfId="1" applyNumberFormat="1" applyFont="1" applyFill="1" applyBorder="1" applyAlignment="1">
      <alignment vertical="center"/>
    </xf>
    <xf numFmtId="3" fontId="0" fillId="0" borderId="1" xfId="0" applyNumberFormat="1" applyFont="1" applyFill="1" applyBorder="1" applyAlignment="1">
      <alignment horizontal="right" vertical="center" wrapText="1"/>
    </xf>
    <xf numFmtId="166" fontId="3" fillId="0" borderId="1" xfId="5" applyNumberFormat="1" applyFont="1" applyFill="1" applyBorder="1" applyAlignment="1">
      <alignment vertical="center"/>
    </xf>
    <xf numFmtId="0" fontId="12" fillId="0" borderId="0" xfId="0" applyFont="1" applyAlignment="1">
      <alignment horizontal="right"/>
    </xf>
    <xf numFmtId="0" fontId="21" fillId="0" borderId="0" xfId="0" applyFont="1" applyFill="1" applyBorder="1" applyAlignment="1">
      <alignment vertical="center" wrapText="1"/>
    </xf>
    <xf numFmtId="0" fontId="21" fillId="0" borderId="60" xfId="0" applyFont="1" applyFill="1" applyBorder="1" applyAlignment="1">
      <alignment vertical="center" wrapText="1"/>
    </xf>
    <xf numFmtId="4" fontId="12" fillId="0" borderId="0" xfId="0" applyNumberFormat="1" applyFont="1"/>
    <xf numFmtId="43" fontId="0" fillId="0" borderId="1" xfId="0" applyNumberFormat="1" applyBorder="1"/>
    <xf numFmtId="178" fontId="0" fillId="0" borderId="1" xfId="2" applyNumberFormat="1" applyFont="1" applyBorder="1"/>
    <xf numFmtId="0" fontId="26" fillId="0" borderId="28" xfId="0" applyFont="1" applyBorder="1" applyAlignment="1">
      <alignment vertical="center"/>
    </xf>
    <xf numFmtId="3" fontId="27" fillId="0" borderId="28" xfId="0" applyNumberFormat="1" applyFont="1" applyBorder="1" applyAlignment="1">
      <alignment horizontal="right" vertical="center"/>
    </xf>
    <xf numFmtId="0" fontId="0" fillId="14" borderId="20" xfId="0" applyFont="1" applyFill="1" applyBorder="1" applyAlignment="1">
      <alignment horizontal="left" vertical="center" wrapText="1"/>
    </xf>
    <xf numFmtId="0" fontId="2" fillId="14" borderId="1" xfId="0" applyFont="1" applyFill="1" applyBorder="1" applyAlignment="1">
      <alignment horizontal="center" vertical="center" wrapText="1"/>
    </xf>
    <xf numFmtId="0" fontId="0" fillId="14" borderId="1" xfId="0" applyFont="1" applyFill="1" applyBorder="1" applyAlignment="1">
      <alignment horizontal="left" vertical="center" wrapText="1"/>
    </xf>
    <xf numFmtId="9" fontId="0" fillId="14" borderId="1" xfId="2" applyFont="1" applyFill="1" applyBorder="1" applyAlignment="1">
      <alignment vertical="center"/>
    </xf>
    <xf numFmtId="166" fontId="0" fillId="14" borderId="1" xfId="5" applyNumberFormat="1" applyFont="1" applyFill="1" applyBorder="1" applyAlignment="1">
      <alignment vertical="center"/>
    </xf>
    <xf numFmtId="166" fontId="0" fillId="14" borderId="1" xfId="1" applyNumberFormat="1" applyFont="1" applyFill="1" applyBorder="1" applyAlignment="1">
      <alignment vertical="center"/>
    </xf>
    <xf numFmtId="41" fontId="0" fillId="14" borderId="1" xfId="0" applyNumberFormat="1" applyFont="1" applyFill="1" applyBorder="1" applyAlignment="1">
      <alignment horizontal="center" vertical="center"/>
    </xf>
    <xf numFmtId="43" fontId="0" fillId="14" borderId="0" xfId="0" applyNumberFormat="1" applyFont="1" applyFill="1" applyBorder="1" applyAlignment="1">
      <alignment horizontal="left" vertical="top" wrapText="1"/>
    </xf>
    <xf numFmtId="0" fontId="22" fillId="0" borderId="20" xfId="0" applyFont="1" applyFill="1" applyBorder="1" applyAlignment="1">
      <alignment horizontal="left" vertical="center" wrapText="1"/>
    </xf>
    <xf numFmtId="0" fontId="2" fillId="0" borderId="42" xfId="0" applyFont="1" applyFill="1" applyBorder="1" applyAlignment="1">
      <alignment horizontal="center" vertical="center" wrapText="1"/>
    </xf>
    <xf numFmtId="0" fontId="2" fillId="0" borderId="1" xfId="4" applyFont="1" applyFill="1" applyBorder="1" applyAlignment="1">
      <alignment horizontal="center" vertical="center" wrapText="1"/>
    </xf>
    <xf numFmtId="3" fontId="26" fillId="0" borderId="0" xfId="0" applyNumberFormat="1" applyFont="1" applyFill="1" applyBorder="1" applyAlignment="1">
      <alignment horizontal="right" vertical="center"/>
    </xf>
    <xf numFmtId="0" fontId="0" fillId="0" borderId="0" xfId="0" applyFill="1"/>
    <xf numFmtId="166" fontId="21" fillId="12" borderId="1" xfId="0" applyNumberFormat="1" applyFont="1" applyFill="1" applyBorder="1" applyAlignment="1">
      <alignment horizontal="center" vertical="center" wrapText="1"/>
    </xf>
    <xf numFmtId="0" fontId="27" fillId="0" borderId="0" xfId="0" applyFont="1" applyFill="1" applyBorder="1" applyAlignment="1">
      <alignment vertical="center"/>
    </xf>
    <xf numFmtId="1" fontId="0" fillId="14" borderId="1" xfId="1" applyNumberFormat="1" applyFont="1" applyFill="1" applyBorder="1" applyAlignment="1">
      <alignment horizontal="center" vertical="center"/>
    </xf>
    <xf numFmtId="166" fontId="0" fillId="14" borderId="1" xfId="1" applyNumberFormat="1" applyFont="1" applyFill="1" applyBorder="1" applyAlignment="1">
      <alignment horizontal="center" vertical="center"/>
    </xf>
    <xf numFmtId="9" fontId="0" fillId="14" borderId="1" xfId="3" applyFont="1" applyFill="1" applyBorder="1" applyAlignment="1">
      <alignment vertical="center"/>
    </xf>
    <xf numFmtId="41" fontId="0" fillId="14" borderId="1" xfId="0" applyNumberFormat="1" applyFont="1" applyFill="1" applyBorder="1" applyAlignment="1">
      <alignment horizontal="left" wrapText="1"/>
    </xf>
    <xf numFmtId="1" fontId="0" fillId="14" borderId="1" xfId="0" applyNumberFormat="1" applyFont="1" applyFill="1" applyBorder="1" applyAlignment="1">
      <alignment horizontal="center" vertical="center"/>
    </xf>
    <xf numFmtId="172" fontId="0" fillId="14" borderId="0" xfId="0" applyNumberFormat="1" applyFont="1" applyFill="1"/>
    <xf numFmtId="0" fontId="0" fillId="14" borderId="0" xfId="0" applyFont="1" applyFill="1"/>
    <xf numFmtId="0" fontId="15" fillId="7" borderId="1" xfId="0" applyFont="1" applyFill="1" applyBorder="1" applyAlignment="1">
      <alignment horizontal="center" vertical="center"/>
    </xf>
    <xf numFmtId="0" fontId="15" fillId="7" borderId="1" xfId="0" applyFont="1" applyFill="1" applyBorder="1" applyAlignment="1">
      <alignment horizontal="center" vertical="center" wrapText="1"/>
    </xf>
    <xf numFmtId="0" fontId="40" fillId="13" borderId="34" xfId="0" applyFont="1" applyFill="1" applyBorder="1" applyAlignment="1">
      <alignment horizontal="center" vertical="center"/>
    </xf>
    <xf numFmtId="0" fontId="40" fillId="13" borderId="51" xfId="0" applyFont="1" applyFill="1" applyBorder="1" applyAlignment="1">
      <alignment horizontal="center" vertical="center" wrapText="1"/>
    </xf>
    <xf numFmtId="0" fontId="40" fillId="15" borderId="1" xfId="0" applyFont="1" applyFill="1" applyBorder="1" applyAlignment="1">
      <alignment horizontal="center" vertical="center"/>
    </xf>
    <xf numFmtId="0" fontId="40" fillId="15" borderId="1" xfId="0" applyFont="1" applyFill="1" applyBorder="1" applyAlignment="1">
      <alignment vertical="center"/>
    </xf>
    <xf numFmtId="168" fontId="40" fillId="15" borderId="1" xfId="0" applyNumberFormat="1" applyFont="1" applyFill="1" applyBorder="1" applyAlignment="1">
      <alignment vertical="center"/>
    </xf>
    <xf numFmtId="43" fontId="40" fillId="15" borderId="1" xfId="0" applyNumberFormat="1" applyFont="1" applyFill="1" applyBorder="1" applyAlignment="1">
      <alignment vertical="center"/>
    </xf>
    <xf numFmtId="0" fontId="40" fillId="15" borderId="1" xfId="0" applyFont="1" applyFill="1" applyBorder="1" applyAlignment="1">
      <alignment horizontal="center" vertical="center" wrapText="1"/>
    </xf>
    <xf numFmtId="0" fontId="21" fillId="16" borderId="1" xfId="0" applyFont="1" applyFill="1" applyBorder="1" applyAlignment="1">
      <alignment horizontal="right" vertical="top"/>
    </xf>
    <xf numFmtId="0" fontId="21" fillId="16" borderId="1" xfId="0" applyFont="1" applyFill="1" applyBorder="1" applyAlignment="1">
      <alignment horizontal="center" vertical="center" wrapText="1"/>
    </xf>
    <xf numFmtId="0" fontId="21" fillId="16" borderId="1" xfId="0" applyFont="1" applyFill="1" applyBorder="1" applyAlignment="1">
      <alignment vertical="center" wrapText="1"/>
    </xf>
    <xf numFmtId="0" fontId="2" fillId="14" borderId="1" xfId="0" applyFont="1" applyFill="1" applyBorder="1" applyAlignment="1">
      <alignment horizontal="left" vertical="center" wrapText="1"/>
    </xf>
    <xf numFmtId="1" fontId="2" fillId="14" borderId="1" xfId="0" applyNumberFormat="1" applyFont="1" applyFill="1" applyBorder="1" applyAlignment="1">
      <alignment horizontal="center" vertical="center" wrapText="1"/>
    </xf>
    <xf numFmtId="166" fontId="2" fillId="14" borderId="1" xfId="1" applyNumberFormat="1" applyFont="1" applyFill="1" applyBorder="1" applyAlignment="1">
      <alignment vertical="center"/>
    </xf>
    <xf numFmtId="9" fontId="2" fillId="14" borderId="1" xfId="3" applyFont="1" applyFill="1" applyBorder="1" applyAlignment="1">
      <alignment vertical="center"/>
    </xf>
    <xf numFmtId="166" fontId="2" fillId="14" borderId="1" xfId="1" applyNumberFormat="1" applyFont="1" applyFill="1" applyBorder="1" applyAlignment="1">
      <alignment vertical="center" wrapText="1"/>
    </xf>
    <xf numFmtId="166" fontId="29" fillId="14" borderId="1" xfId="1" applyNumberFormat="1" applyFont="1" applyFill="1" applyBorder="1" applyAlignment="1">
      <alignment vertical="center"/>
    </xf>
    <xf numFmtId="0" fontId="2" fillId="14" borderId="1" xfId="0" applyFont="1" applyFill="1" applyBorder="1" applyAlignment="1">
      <alignment horizontal="center" vertical="center"/>
    </xf>
    <xf numFmtId="172" fontId="10" fillId="14" borderId="0" xfId="0" applyNumberFormat="1" applyFont="1" applyFill="1" applyBorder="1" applyAlignment="1">
      <alignment horizontal="left" vertical="center" wrapText="1"/>
    </xf>
    <xf numFmtId="0" fontId="10" fillId="14" borderId="0" xfId="0" applyFont="1" applyFill="1" applyBorder="1" applyAlignment="1">
      <alignment horizontal="left" vertical="top" wrapText="1"/>
    </xf>
    <xf numFmtId="0" fontId="3" fillId="14" borderId="1" xfId="0" applyFont="1" applyFill="1" applyBorder="1" applyAlignment="1">
      <alignment horizontal="left" vertical="center" wrapText="1"/>
    </xf>
    <xf numFmtId="43" fontId="2" fillId="14" borderId="1" xfId="1" applyFont="1" applyFill="1" applyBorder="1" applyAlignment="1">
      <alignment vertical="center"/>
    </xf>
    <xf numFmtId="0" fontId="3" fillId="14" borderId="1" xfId="0" applyFont="1" applyFill="1" applyBorder="1" applyAlignment="1">
      <alignment horizontal="center" vertical="center"/>
    </xf>
    <xf numFmtId="0" fontId="39" fillId="14" borderId="0" xfId="0" applyFont="1" applyFill="1" applyAlignment="1">
      <alignment wrapText="1"/>
    </xf>
    <xf numFmtId="0" fontId="0" fillId="14" borderId="1" xfId="0" applyFont="1" applyFill="1" applyBorder="1" applyAlignment="1">
      <alignment vertical="center" wrapText="1"/>
    </xf>
    <xf numFmtId="0" fontId="0" fillId="14" borderId="1" xfId="0" applyFont="1" applyFill="1" applyBorder="1" applyAlignment="1">
      <alignment horizontal="center" vertical="center" wrapText="1"/>
    </xf>
    <xf numFmtId="4" fontId="0" fillId="14" borderId="1" xfId="0" applyNumberFormat="1" applyFont="1" applyFill="1" applyBorder="1" applyAlignment="1">
      <alignment horizontal="right" vertical="center" wrapText="1"/>
    </xf>
    <xf numFmtId="43" fontId="0" fillId="14" borderId="1" xfId="1" applyFont="1" applyFill="1" applyBorder="1" applyAlignment="1">
      <alignment vertical="center"/>
    </xf>
    <xf numFmtId="166" fontId="0" fillId="14" borderId="1" xfId="1" applyNumberFormat="1" applyFont="1" applyFill="1" applyBorder="1" applyAlignment="1">
      <alignment vertical="center" wrapText="1"/>
    </xf>
    <xf numFmtId="1" fontId="2" fillId="14" borderId="1" xfId="0" applyNumberFormat="1" applyFont="1" applyFill="1" applyBorder="1" applyAlignment="1">
      <alignment horizontal="center" vertical="center"/>
    </xf>
    <xf numFmtId="0" fontId="0" fillId="14" borderId="0" xfId="0" applyFont="1" applyFill="1" applyBorder="1" applyAlignment="1">
      <alignment horizontal="left" vertical="top" wrapText="1"/>
    </xf>
    <xf numFmtId="0" fontId="0" fillId="14" borderId="17" xfId="0" applyFont="1" applyFill="1" applyBorder="1" applyAlignment="1">
      <alignment horizontal="left" vertical="center" wrapText="1"/>
    </xf>
    <xf numFmtId="1" fontId="0" fillId="14" borderId="1" xfId="0" applyNumberFormat="1" applyFont="1" applyFill="1" applyBorder="1" applyAlignment="1">
      <alignment horizontal="center" vertical="center" wrapText="1"/>
    </xf>
    <xf numFmtId="176" fontId="0" fillId="14" borderId="1" xfId="5" applyNumberFormat="1" applyFont="1" applyFill="1" applyBorder="1" applyAlignment="1">
      <alignment horizontal="right" vertical="center"/>
    </xf>
    <xf numFmtId="41" fontId="0" fillId="14" borderId="1" xfId="0" applyNumberFormat="1" applyFont="1" applyFill="1" applyBorder="1" applyAlignment="1">
      <alignment horizontal="center" vertical="center" wrapText="1"/>
    </xf>
    <xf numFmtId="0" fontId="22" fillId="14" borderId="17" xfId="0" applyFont="1" applyFill="1" applyBorder="1" applyAlignment="1">
      <alignment horizontal="left" vertical="center" wrapText="1"/>
    </xf>
    <xf numFmtId="1" fontId="22" fillId="14" borderId="1" xfId="0" applyNumberFormat="1" applyFont="1" applyFill="1" applyBorder="1" applyAlignment="1">
      <alignment horizontal="center" vertical="center" wrapText="1"/>
    </xf>
    <xf numFmtId="0" fontId="22" fillId="14" borderId="41" xfId="0" applyFont="1" applyFill="1" applyBorder="1" applyAlignment="1">
      <alignment horizontal="left" vertical="center" wrapText="1"/>
    </xf>
    <xf numFmtId="0" fontId="22" fillId="14" borderId="1" xfId="0" applyFont="1" applyFill="1" applyBorder="1" applyAlignment="1">
      <alignment wrapText="1"/>
    </xf>
    <xf numFmtId="0" fontId="11" fillId="14" borderId="1" xfId="0" applyFont="1" applyFill="1" applyBorder="1" applyAlignment="1">
      <alignment horizontal="left" vertical="center" wrapText="1"/>
    </xf>
    <xf numFmtId="0" fontId="6" fillId="14" borderId="1" xfId="0" applyFont="1" applyFill="1" applyBorder="1" applyAlignment="1">
      <alignment horizontal="center" vertical="center" wrapText="1"/>
    </xf>
    <xf numFmtId="166" fontId="6" fillId="14" borderId="1" xfId="1" applyNumberFormat="1" applyFont="1" applyFill="1" applyBorder="1" applyAlignment="1">
      <alignment vertical="center"/>
    </xf>
    <xf numFmtId="43" fontId="6" fillId="14" borderId="1" xfId="1" applyFont="1" applyFill="1" applyBorder="1" applyAlignment="1">
      <alignment vertical="center"/>
    </xf>
    <xf numFmtId="9" fontId="6" fillId="14" borderId="1" xfId="3" applyFont="1" applyFill="1" applyBorder="1" applyAlignment="1">
      <alignment vertical="center"/>
    </xf>
    <xf numFmtId="166" fontId="6" fillId="14" borderId="1" xfId="1" applyNumberFormat="1" applyFont="1" applyFill="1" applyBorder="1" applyAlignment="1">
      <alignment horizontal="center" vertical="center"/>
    </xf>
    <xf numFmtId="166" fontId="6" fillId="14" borderId="1" xfId="1" applyNumberFormat="1" applyFont="1" applyFill="1" applyBorder="1" applyAlignment="1">
      <alignment vertical="center" wrapText="1"/>
    </xf>
    <xf numFmtId="166" fontId="30" fillId="14" borderId="1" xfId="1" applyNumberFormat="1" applyFont="1" applyFill="1" applyBorder="1" applyAlignment="1">
      <alignment vertical="center"/>
    </xf>
    <xf numFmtId="0" fontId="11" fillId="14" borderId="1" xfId="0" applyFont="1" applyFill="1" applyBorder="1" applyAlignment="1">
      <alignment horizontal="center" vertical="center"/>
    </xf>
    <xf numFmtId="0" fontId="6" fillId="14" borderId="1" xfId="0" applyFont="1" applyFill="1" applyBorder="1" applyAlignment="1">
      <alignment horizontal="center" vertical="center"/>
    </xf>
    <xf numFmtId="172" fontId="4" fillId="14" borderId="0" xfId="0" applyNumberFormat="1" applyFont="1" applyFill="1" applyBorder="1" applyAlignment="1">
      <alignment horizontal="left" vertical="center" wrapText="1"/>
    </xf>
    <xf numFmtId="0" fontId="4" fillId="14" borderId="0" xfId="0" applyFont="1" applyFill="1" applyBorder="1" applyAlignment="1">
      <alignment horizontal="left" vertical="top" wrapText="1"/>
    </xf>
    <xf numFmtId="0" fontId="12" fillId="14" borderId="1" xfId="0" applyFont="1" applyFill="1" applyBorder="1" applyAlignment="1">
      <alignment horizontal="left" vertical="center" wrapText="1"/>
    </xf>
    <xf numFmtId="166" fontId="0" fillId="14" borderId="1" xfId="5" applyNumberFormat="1" applyFont="1" applyFill="1" applyBorder="1" applyAlignment="1">
      <alignment horizontal="right" vertical="center"/>
    </xf>
    <xf numFmtId="166" fontId="0" fillId="14" borderId="1" xfId="5" applyNumberFormat="1" applyFont="1" applyFill="1" applyBorder="1" applyAlignment="1">
      <alignment vertical="center" wrapText="1"/>
    </xf>
    <xf numFmtId="0" fontId="0" fillId="14" borderId="1" xfId="0" applyFont="1" applyFill="1" applyBorder="1" applyAlignment="1">
      <alignment horizontal="center" vertical="center"/>
    </xf>
    <xf numFmtId="0" fontId="0" fillId="14" borderId="41" xfId="0" applyFont="1" applyFill="1" applyBorder="1" applyAlignment="1">
      <alignment horizontal="left" vertical="center" wrapText="1"/>
    </xf>
    <xf numFmtId="174" fontId="0" fillId="14" borderId="1" xfId="5" applyNumberFormat="1" applyFont="1" applyFill="1" applyBorder="1" applyAlignment="1">
      <alignment horizontal="right" vertical="center"/>
    </xf>
    <xf numFmtId="0" fontId="3" fillId="14" borderId="1" xfId="0" applyFont="1" applyFill="1" applyBorder="1" applyAlignment="1">
      <alignment horizontal="center" vertical="center" wrapText="1"/>
    </xf>
    <xf numFmtId="0" fontId="0" fillId="14" borderId="1" xfId="1" applyNumberFormat="1" applyFont="1" applyFill="1" applyBorder="1" applyAlignment="1">
      <alignment horizontal="center" vertical="center"/>
    </xf>
    <xf numFmtId="164" fontId="0" fillId="14" borderId="1" xfId="0" applyNumberFormat="1" applyFont="1" applyFill="1" applyBorder="1" applyAlignment="1">
      <alignment horizontal="right" vertical="center"/>
    </xf>
    <xf numFmtId="9" fontId="0" fillId="14" borderId="1" xfId="1" applyNumberFormat="1" applyFont="1" applyFill="1" applyBorder="1" applyAlignment="1">
      <alignment vertical="center"/>
    </xf>
    <xf numFmtId="41" fontId="20" fillId="14" borderId="1" xfId="0" applyNumberFormat="1" applyFont="1" applyFill="1" applyBorder="1" applyAlignment="1">
      <alignment horizontal="center" vertical="center"/>
    </xf>
    <xf numFmtId="166" fontId="0" fillId="14" borderId="1" xfId="5" applyNumberFormat="1" applyFont="1" applyFill="1" applyBorder="1" applyAlignment="1">
      <alignment horizontal="center" vertical="center"/>
    </xf>
    <xf numFmtId="166" fontId="0" fillId="12" borderId="1" xfId="1" applyNumberFormat="1" applyFont="1" applyFill="1" applyBorder="1" applyAlignment="1">
      <alignment horizontal="center" vertical="center"/>
    </xf>
    <xf numFmtId="166" fontId="12" fillId="8" borderId="1" xfId="1" applyNumberFormat="1" applyFont="1" applyFill="1" applyBorder="1" applyAlignment="1">
      <alignment horizontal="center" vertical="center"/>
    </xf>
    <xf numFmtId="166" fontId="0" fillId="12" borderId="1" xfId="5" applyNumberFormat="1" applyFont="1" applyFill="1" applyBorder="1" applyAlignment="1">
      <alignment horizontal="center" vertical="center"/>
    </xf>
    <xf numFmtId="166" fontId="22" fillId="12" borderId="1" xfId="1" applyNumberFormat="1" applyFont="1" applyFill="1" applyBorder="1" applyAlignment="1">
      <alignment horizontal="center" vertical="center"/>
    </xf>
    <xf numFmtId="166" fontId="2" fillId="0" borderId="22" xfId="1" applyNumberFormat="1" applyFont="1" applyFill="1" applyBorder="1" applyAlignment="1">
      <alignment horizontal="center" vertical="center"/>
    </xf>
    <xf numFmtId="166" fontId="3" fillId="8" borderId="1" xfId="1" applyNumberFormat="1" applyFont="1" applyFill="1" applyBorder="1" applyAlignment="1">
      <alignment horizontal="center" vertical="center"/>
    </xf>
    <xf numFmtId="166" fontId="3" fillId="12" borderId="1" xfId="1" applyNumberFormat="1" applyFont="1" applyFill="1" applyBorder="1" applyAlignment="1">
      <alignment horizontal="center" vertical="center"/>
    </xf>
    <xf numFmtId="166" fontId="0" fillId="0" borderId="1" xfId="5" applyNumberFormat="1" applyFont="1" applyFill="1" applyBorder="1" applyAlignment="1">
      <alignment horizontal="center" vertical="center"/>
    </xf>
    <xf numFmtId="0" fontId="3"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23" fillId="0" borderId="0" xfId="0" applyFont="1" applyAlignment="1">
      <alignment horizontal="center" vertical="top"/>
    </xf>
    <xf numFmtId="165" fontId="3" fillId="0" borderId="1" xfId="1" applyNumberFormat="1" applyFont="1" applyFill="1" applyBorder="1" applyAlignment="1">
      <alignment horizontal="center" vertical="center" wrapText="1"/>
    </xf>
    <xf numFmtId="41"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1" fontId="3" fillId="0" borderId="1" xfId="0" applyNumberFormat="1"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5" xfId="0" applyFont="1" applyFill="1" applyBorder="1" applyAlignment="1">
      <alignment horizontal="center" vertical="center"/>
    </xf>
    <xf numFmtId="0" fontId="12"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3" fillId="0" borderId="1" xfId="0" applyFont="1" applyBorder="1" applyAlignment="1">
      <alignment horizontal="center" vertical="top"/>
    </xf>
    <xf numFmtId="165" fontId="12" fillId="0" borderId="1" xfId="1" applyNumberFormat="1" applyFont="1" applyFill="1" applyBorder="1" applyAlignment="1">
      <alignment horizontal="center" vertical="center" wrapText="1"/>
    </xf>
    <xf numFmtId="41" fontId="12" fillId="0" borderId="1" xfId="0" applyNumberFormat="1" applyFont="1" applyFill="1" applyBorder="1" applyAlignment="1">
      <alignment horizontal="center" vertical="center"/>
    </xf>
    <xf numFmtId="0" fontId="12" fillId="0" borderId="16" xfId="0" applyFont="1" applyFill="1" applyBorder="1" applyAlignment="1">
      <alignment horizontal="center" vertical="center"/>
    </xf>
    <xf numFmtId="0" fontId="12" fillId="0" borderId="17" xfId="0" applyFont="1" applyFill="1" applyBorder="1" applyAlignment="1">
      <alignment horizontal="center" vertical="center"/>
    </xf>
    <xf numFmtId="0" fontId="12" fillId="0" borderId="15" xfId="0" applyFont="1" applyFill="1" applyBorder="1" applyAlignment="1">
      <alignment horizontal="center" vertical="center"/>
    </xf>
    <xf numFmtId="0" fontId="1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21" fillId="2" borderId="1" xfId="0" applyFont="1" applyFill="1" applyBorder="1" applyAlignment="1">
      <alignment horizontal="center" vertical="center" wrapText="1"/>
    </xf>
    <xf numFmtId="0" fontId="25" fillId="0" borderId="0" xfId="0" applyFont="1" applyAlignment="1">
      <alignment horizontal="center" vertical="top"/>
    </xf>
    <xf numFmtId="41" fontId="21" fillId="2" borderId="16" xfId="0" applyNumberFormat="1" applyFont="1" applyFill="1" applyBorder="1" applyAlignment="1">
      <alignment horizontal="center" vertical="center"/>
    </xf>
    <xf numFmtId="41" fontId="21" fillId="2" borderId="17" xfId="0" applyNumberFormat="1" applyFont="1" applyFill="1" applyBorder="1" applyAlignment="1">
      <alignment horizontal="center" vertical="center"/>
    </xf>
    <xf numFmtId="41" fontId="21" fillId="2" borderId="15" xfId="0" applyNumberFormat="1" applyFont="1" applyFill="1" applyBorder="1" applyAlignment="1">
      <alignment horizontal="center" vertical="center"/>
    </xf>
    <xf numFmtId="41" fontId="21" fillId="2" borderId="1" xfId="0" applyNumberFormat="1" applyFont="1" applyFill="1" applyBorder="1" applyAlignment="1">
      <alignment horizontal="center" vertical="center"/>
    </xf>
    <xf numFmtId="0" fontId="21" fillId="2" borderId="1"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5" xfId="0" applyFont="1" applyFill="1" applyBorder="1" applyAlignment="1">
      <alignment horizontal="center" vertical="center"/>
    </xf>
    <xf numFmtId="0" fontId="26" fillId="0" borderId="0" xfId="0" applyFont="1" applyBorder="1" applyAlignment="1">
      <alignment horizontal="left" vertical="center" wrapText="1"/>
    </xf>
    <xf numFmtId="0" fontId="2" fillId="0" borderId="0" xfId="0" applyFont="1" applyFill="1" applyBorder="1" applyAlignment="1">
      <alignment horizontal="left" vertical="center" wrapText="1"/>
    </xf>
    <xf numFmtId="0" fontId="26" fillId="12" borderId="48" xfId="0" applyFont="1" applyFill="1" applyBorder="1" applyAlignment="1">
      <alignment horizontal="left" vertical="center" wrapText="1"/>
    </xf>
    <xf numFmtId="0" fontId="26" fillId="12" borderId="0"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8"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5" xfId="0" applyFont="1" applyFill="1" applyBorder="1" applyAlignment="1">
      <alignment horizontal="left" vertical="center" wrapText="1"/>
    </xf>
    <xf numFmtId="0" fontId="0" fillId="0" borderId="42" xfId="0" applyFont="1" applyFill="1" applyBorder="1" applyAlignment="1">
      <alignment horizontal="left" vertical="center" wrapText="1"/>
    </xf>
    <xf numFmtId="0" fontId="0" fillId="0" borderId="45" xfId="0" applyFont="1" applyFill="1" applyBorder="1" applyAlignment="1">
      <alignment horizontal="left" vertical="center" wrapText="1"/>
    </xf>
    <xf numFmtId="0" fontId="0" fillId="0" borderId="48" xfId="0" applyFont="1" applyFill="1" applyBorder="1" applyAlignment="1">
      <alignment horizontal="left" vertical="center" wrapText="1"/>
    </xf>
    <xf numFmtId="0" fontId="0" fillId="0" borderId="0" xfId="0" applyFont="1" applyFill="1" applyBorder="1" applyAlignment="1">
      <alignment horizontal="left" vertical="center" wrapText="1"/>
    </xf>
    <xf numFmtId="0" fontId="4" fillId="0" borderId="48" xfId="0" applyFont="1" applyFill="1" applyBorder="1" applyAlignment="1">
      <alignment vertical="center" wrapText="1"/>
    </xf>
    <xf numFmtId="0" fontId="4" fillId="0" borderId="0" xfId="0" applyFont="1" applyFill="1" applyBorder="1" applyAlignment="1">
      <alignment vertical="center" wrapText="1"/>
    </xf>
    <xf numFmtId="0" fontId="7" fillId="13" borderId="48" xfId="0" applyFont="1" applyFill="1" applyBorder="1" applyAlignment="1">
      <alignment vertical="center" wrapText="1"/>
    </xf>
    <xf numFmtId="0" fontId="7" fillId="13" borderId="0" xfId="0" applyFont="1" applyFill="1" applyBorder="1" applyAlignment="1">
      <alignment vertical="center" wrapText="1"/>
    </xf>
    <xf numFmtId="0" fontId="0" fillId="4" borderId="25" xfId="0" applyFont="1" applyFill="1" applyBorder="1" applyAlignment="1">
      <alignment horizontal="left" vertical="center" wrapText="1"/>
    </xf>
    <xf numFmtId="0" fontId="0" fillId="4" borderId="28" xfId="0" applyFont="1" applyFill="1" applyBorder="1" applyAlignment="1">
      <alignment horizontal="left" vertical="center" wrapText="1"/>
    </xf>
    <xf numFmtId="0" fontId="27" fillId="0" borderId="47" xfId="0" applyFont="1" applyBorder="1" applyAlignment="1">
      <alignment horizontal="center" vertical="center"/>
    </xf>
    <xf numFmtId="0" fontId="27" fillId="0" borderId="55" xfId="0" applyFont="1" applyBorder="1" applyAlignment="1">
      <alignment horizontal="center" vertical="center"/>
    </xf>
    <xf numFmtId="0" fontId="27" fillId="0" borderId="49" xfId="0" applyFont="1" applyBorder="1" applyAlignment="1">
      <alignment horizontal="center" vertical="center"/>
    </xf>
    <xf numFmtId="0" fontId="27" fillId="0" borderId="47" xfId="0" applyFont="1" applyBorder="1" applyAlignment="1">
      <alignment horizontal="center" vertical="center" wrapText="1"/>
    </xf>
    <xf numFmtId="0" fontId="27" fillId="0" borderId="55" xfId="0" applyFont="1" applyBorder="1" applyAlignment="1">
      <alignment horizontal="center" vertical="center" wrapText="1"/>
    </xf>
    <xf numFmtId="0" fontId="27" fillId="0" borderId="49" xfId="0" applyFont="1" applyBorder="1" applyAlignment="1">
      <alignment horizontal="center" vertical="center" wrapText="1"/>
    </xf>
    <xf numFmtId="0" fontId="26" fillId="13" borderId="48" xfId="0" applyFont="1" applyFill="1" applyBorder="1" applyAlignment="1">
      <alignment horizontal="left" vertical="center" wrapText="1"/>
    </xf>
    <xf numFmtId="0" fontId="26" fillId="13" borderId="0" xfId="0" applyFont="1" applyFill="1" applyBorder="1" applyAlignment="1">
      <alignment horizontal="left" vertical="center" wrapText="1"/>
    </xf>
    <xf numFmtId="0" fontId="12" fillId="12" borderId="53" xfId="0" applyFont="1" applyFill="1" applyBorder="1" applyAlignment="1">
      <alignment horizontal="left" vertical="center" wrapText="1"/>
    </xf>
    <xf numFmtId="0" fontId="12" fillId="12" borderId="0" xfId="0" applyFont="1" applyFill="1" applyBorder="1" applyAlignment="1">
      <alignment horizontal="left" vertical="center" wrapText="1"/>
    </xf>
    <xf numFmtId="0" fontId="0" fillId="0" borderId="25" xfId="0" applyFill="1" applyBorder="1" applyAlignment="1">
      <alignment horizontal="left" vertical="center" wrapText="1"/>
    </xf>
    <xf numFmtId="0" fontId="0" fillId="0" borderId="28" xfId="0" applyFill="1" applyBorder="1" applyAlignment="1">
      <alignment horizontal="left" vertical="center" wrapText="1"/>
    </xf>
    <xf numFmtId="0" fontId="0" fillId="0" borderId="25" xfId="0" applyFont="1" applyFill="1" applyBorder="1" applyAlignment="1">
      <alignment horizontal="left" vertical="top" wrapText="1"/>
    </xf>
    <xf numFmtId="0" fontId="0" fillId="0" borderId="28" xfId="0" applyFont="1" applyFill="1" applyBorder="1" applyAlignment="1">
      <alignment horizontal="left" vertical="top" wrapText="1"/>
    </xf>
    <xf numFmtId="0" fontId="26" fillId="0" borderId="47" xfId="0" applyFont="1" applyBorder="1" applyAlignment="1">
      <alignment horizontal="center" vertical="center"/>
    </xf>
    <xf numFmtId="0" fontId="26" fillId="0" borderId="55" xfId="0" applyFont="1" applyBorder="1" applyAlignment="1">
      <alignment horizontal="center" vertical="center"/>
    </xf>
    <xf numFmtId="0" fontId="26" fillId="0" borderId="49" xfId="0" applyFont="1" applyBorder="1" applyAlignment="1">
      <alignment horizontal="center" vertical="center"/>
    </xf>
    <xf numFmtId="0" fontId="7" fillId="0" borderId="0" xfId="0" applyFont="1" applyFill="1" applyBorder="1" applyAlignment="1">
      <alignment vertical="center" wrapText="1"/>
    </xf>
    <xf numFmtId="0" fontId="26" fillId="0" borderId="28" xfId="0" applyFont="1" applyBorder="1" applyAlignment="1">
      <alignment horizontal="left" vertical="top" wrapText="1"/>
    </xf>
    <xf numFmtId="0" fontId="36" fillId="0" borderId="0" xfId="0" applyFont="1" applyAlignment="1">
      <alignment horizontal="center"/>
    </xf>
    <xf numFmtId="0" fontId="37" fillId="0" borderId="0" xfId="0" applyFont="1" applyAlignment="1">
      <alignment horizontal="center"/>
    </xf>
    <xf numFmtId="0" fontId="21" fillId="16" borderId="1" xfId="0" applyFont="1" applyFill="1" applyBorder="1" applyAlignment="1">
      <alignment horizontal="left" vertical="center" wrapText="1"/>
    </xf>
    <xf numFmtId="0" fontId="21" fillId="16" borderId="1" xfId="0" applyFont="1" applyFill="1" applyBorder="1" applyAlignment="1">
      <alignment horizontal="center" vertical="center" wrapText="1"/>
    </xf>
    <xf numFmtId="0" fontId="13" fillId="0" borderId="0" xfId="0" applyFont="1" applyAlignment="1">
      <alignment horizontal="center"/>
    </xf>
    <xf numFmtId="0" fontId="15" fillId="7" borderId="7" xfId="0" applyFont="1" applyFill="1" applyBorder="1" applyAlignment="1">
      <alignment horizontal="center" vertical="center" wrapText="1"/>
    </xf>
    <xf numFmtId="0" fontId="16" fillId="7" borderId="19" xfId="0" applyFont="1" applyFill="1" applyBorder="1" applyAlignment="1">
      <alignment horizontal="center" vertical="center" wrapText="1"/>
    </xf>
    <xf numFmtId="0" fontId="15" fillId="7" borderId="11" xfId="0" applyFont="1" applyFill="1" applyBorder="1" applyAlignment="1">
      <alignment horizontal="center" vertical="center"/>
    </xf>
    <xf numFmtId="0" fontId="15" fillId="7" borderId="12" xfId="0" applyFont="1" applyFill="1" applyBorder="1" applyAlignment="1">
      <alignment horizontal="center" vertical="center"/>
    </xf>
    <xf numFmtId="0" fontId="15" fillId="7" borderId="10" xfId="0" applyFont="1" applyFill="1" applyBorder="1" applyAlignment="1">
      <alignment horizontal="center" vertical="center"/>
    </xf>
    <xf numFmtId="0" fontId="15" fillId="7" borderId="9" xfId="0" applyFont="1" applyFill="1" applyBorder="1" applyAlignment="1">
      <alignment horizontal="center" vertical="center"/>
    </xf>
    <xf numFmtId="0" fontId="16" fillId="7" borderId="1" xfId="0" applyFont="1" applyFill="1" applyBorder="1" applyAlignment="1">
      <alignment horizontal="center" vertical="center"/>
    </xf>
    <xf numFmtId="0" fontId="15" fillId="7" borderId="8" xfId="0" applyFont="1" applyFill="1" applyBorder="1" applyAlignment="1">
      <alignment horizontal="center" vertical="center" wrapText="1"/>
    </xf>
    <xf numFmtId="0" fontId="16" fillId="7" borderId="18" xfId="0" applyFont="1" applyFill="1" applyBorder="1" applyAlignment="1">
      <alignment horizontal="center" vertical="center" wrapText="1"/>
    </xf>
    <xf numFmtId="0" fontId="40" fillId="13" borderId="37" xfId="0" applyFont="1" applyFill="1" applyBorder="1" applyAlignment="1">
      <alignment horizontal="center" vertical="center" wrapText="1"/>
    </xf>
    <xf numFmtId="0" fontId="40" fillId="13" borderId="38" xfId="0" applyFont="1" applyFill="1" applyBorder="1" applyAlignment="1">
      <alignment horizontal="center" vertical="center" wrapText="1"/>
    </xf>
    <xf numFmtId="0" fontId="40" fillId="13" borderId="25" xfId="0" applyFont="1" applyFill="1" applyBorder="1" applyAlignment="1">
      <alignment horizontal="center" vertical="center" wrapText="1"/>
    </xf>
    <xf numFmtId="0" fontId="40" fillId="13" borderId="26" xfId="0" applyFont="1" applyFill="1" applyBorder="1" applyAlignment="1">
      <alignment horizontal="center" vertical="center" wrapText="1"/>
    </xf>
    <xf numFmtId="0" fontId="40" fillId="13" borderId="34" xfId="0" applyFont="1" applyFill="1" applyBorder="1" applyAlignment="1">
      <alignment horizontal="center"/>
    </xf>
    <xf numFmtId="0" fontId="40" fillId="13" borderId="51" xfId="0" applyFont="1" applyFill="1" applyBorder="1" applyAlignment="1">
      <alignment horizontal="center"/>
    </xf>
    <xf numFmtId="0" fontId="40" fillId="13" borderId="52" xfId="0" applyFont="1" applyFill="1" applyBorder="1" applyAlignment="1">
      <alignment horizontal="center" vertical="center"/>
    </xf>
    <xf numFmtId="0" fontId="40" fillId="13" borderId="2" xfId="0" applyFont="1" applyFill="1" applyBorder="1" applyAlignment="1">
      <alignment horizontal="center" vertical="center"/>
    </xf>
    <xf numFmtId="0" fontId="40" fillId="13" borderId="39" xfId="0" applyFont="1" applyFill="1" applyBorder="1" applyAlignment="1">
      <alignment horizontal="center" vertical="center" wrapText="1"/>
    </xf>
    <xf numFmtId="0" fontId="40" fillId="13" borderId="3" xfId="0" applyFont="1" applyFill="1" applyBorder="1" applyAlignment="1">
      <alignment horizontal="center" vertical="center" wrapText="1"/>
    </xf>
    <xf numFmtId="0" fontId="40" fillId="15" borderId="1" xfId="0" applyFont="1" applyFill="1" applyBorder="1" applyAlignment="1">
      <alignment horizontal="center" vertical="center" wrapText="1"/>
    </xf>
    <xf numFmtId="0" fontId="40" fillId="15" borderId="1" xfId="0" applyFont="1" applyFill="1" applyBorder="1" applyAlignment="1">
      <alignment horizontal="center"/>
    </xf>
    <xf numFmtId="0" fontId="40" fillId="15" borderId="1" xfId="0" applyFont="1" applyFill="1" applyBorder="1" applyAlignment="1">
      <alignment horizontal="center" vertical="center"/>
    </xf>
    <xf numFmtId="0" fontId="40" fillId="10" borderId="16" xfId="0" applyFont="1" applyFill="1" applyBorder="1" applyAlignment="1">
      <alignment horizontal="center" vertical="center" wrapText="1"/>
    </xf>
    <xf numFmtId="0" fontId="40" fillId="10" borderId="15" xfId="0" applyFont="1" applyFill="1" applyBorder="1" applyAlignment="1">
      <alignment horizontal="center" vertical="center" wrapText="1"/>
    </xf>
    <xf numFmtId="43"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40" fillId="7" borderId="16" xfId="0" applyFont="1" applyFill="1" applyBorder="1" applyAlignment="1">
      <alignment horizontal="center" vertical="center" wrapText="1"/>
    </xf>
    <xf numFmtId="0" fontId="40" fillId="7" borderId="17" xfId="0" applyFont="1" applyFill="1" applyBorder="1" applyAlignment="1">
      <alignment horizontal="center" vertical="center" wrapText="1"/>
    </xf>
    <xf numFmtId="0" fontId="40" fillId="7" borderId="15" xfId="0" applyFont="1" applyFill="1" applyBorder="1" applyAlignment="1">
      <alignment horizontal="center" vertical="center" wrapText="1"/>
    </xf>
    <xf numFmtId="0" fontId="12" fillId="0" borderId="1" xfId="0" applyFont="1" applyBorder="1" applyAlignment="1">
      <alignment horizontal="center" wrapText="1"/>
    </xf>
  </cellXfs>
  <cellStyles count="6">
    <cellStyle name="Milliers" xfId="1" builtinId="3"/>
    <cellStyle name="Milliers 2" xfId="5"/>
    <cellStyle name="Normal" xfId="0" builtinId="0"/>
    <cellStyle name="Normal 2" xfId="4"/>
    <cellStyle name="Pourcentage" xfId="2" builtinId="5"/>
    <cellStyle name="Pourcentage 2" xfId="3"/>
  </cellStyles>
  <dxfs count="0"/>
  <tableStyles count="0" defaultTableStyle="TableStyleMedium2" defaultPivotStyle="PivotStyleLight16"/>
  <colors>
    <mruColors>
      <color rgb="FFCC66FF"/>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a:t>Répartition budget par catégorie de dépenses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dPt>
          <c:dPt>
            <c:idx val="1"/>
            <c:bubble3D val="0"/>
            <c:spPr>
              <a:solidFill>
                <a:schemeClr val="accent2"/>
              </a:solidFill>
              <a:ln>
                <a:noFill/>
              </a:ln>
              <a:effectLst>
                <a:outerShdw blurRad="254000" sx="102000" sy="102000" algn="ctr" rotWithShape="0">
                  <a:prstClr val="black">
                    <a:alpha val="20000"/>
                  </a:prstClr>
                </a:outerShdw>
              </a:effectLst>
              <a:sp3d/>
            </c:spPr>
          </c:dPt>
          <c:dPt>
            <c:idx val="2"/>
            <c:bubble3D val="0"/>
            <c:spPr>
              <a:solidFill>
                <a:schemeClr val="accent3"/>
              </a:solidFill>
              <a:ln>
                <a:noFill/>
              </a:ln>
              <a:effectLst>
                <a:outerShdw blurRad="254000" sx="102000" sy="102000" algn="ctr" rotWithShape="0">
                  <a:prstClr val="black">
                    <a:alpha val="20000"/>
                  </a:prstClr>
                </a:outerShdw>
              </a:effectLst>
              <a:sp3d/>
            </c:spPr>
          </c:dPt>
          <c:dPt>
            <c:idx val="3"/>
            <c:bubble3D val="0"/>
            <c:spPr>
              <a:solidFill>
                <a:schemeClr val="accent4"/>
              </a:solidFill>
              <a:ln>
                <a:noFill/>
              </a:ln>
              <a:effectLst>
                <a:outerShdw blurRad="254000" sx="102000" sy="102000" algn="ctr" rotWithShape="0">
                  <a:prstClr val="black">
                    <a:alpha val="20000"/>
                  </a:prstClr>
                </a:outerShdw>
              </a:effectLst>
              <a:sp3d/>
            </c:spPr>
          </c:dPt>
          <c:dPt>
            <c:idx val="4"/>
            <c:bubble3D val="0"/>
            <c:spPr>
              <a:solidFill>
                <a:schemeClr val="accent5"/>
              </a:solidFill>
              <a:ln>
                <a:noFill/>
              </a:ln>
              <a:effectLst>
                <a:outerShdw blurRad="254000" sx="102000" sy="102000" algn="ctr" rotWithShape="0">
                  <a:prstClr val="black">
                    <a:alpha val="20000"/>
                  </a:prstClr>
                </a:outerShdw>
              </a:effectLst>
              <a:sp3d/>
            </c:spPr>
          </c:dPt>
          <c:dPt>
            <c:idx val="5"/>
            <c:bubble3D val="0"/>
            <c:spPr>
              <a:solidFill>
                <a:schemeClr val="accent6"/>
              </a:solidFill>
              <a:ln>
                <a:noFill/>
              </a:ln>
              <a:effectLst>
                <a:outerShdw blurRad="254000" sx="102000" sy="102000" algn="ctr" rotWithShape="0">
                  <a:prstClr val="black">
                    <a:alpha val="20000"/>
                  </a:prstClr>
                </a:outerShdw>
              </a:effectLst>
              <a:sp3d/>
            </c:spPr>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'REPARTITION PAR NATURE PIP'!$B$21:$B$26</c:f>
              <c:strCache>
                <c:ptCount val="6"/>
                <c:pt idx="0">
                  <c:v>Personnel</c:v>
                </c:pt>
                <c:pt idx="1">
                  <c:v>Achats de Biens et Services</c:v>
                </c:pt>
                <c:pt idx="2">
                  <c:v>Immobilisations incorporelles</c:v>
                </c:pt>
                <c:pt idx="3">
                  <c:v>Acquisition et aménagement des sols et sous-sols</c:v>
                </c:pt>
                <c:pt idx="4">
                  <c:v>Acquisitions, constructions et grosses réparations des immeubles</c:v>
                </c:pt>
                <c:pt idx="5">
                  <c:v>Acquisitions et grosses réparations du matériel et mobilier</c:v>
                </c:pt>
              </c:strCache>
            </c:strRef>
          </c:cat>
          <c:val>
            <c:numRef>
              <c:f>'REPARTITION PAR NATURE PIP'!$D$21:$D$26</c:f>
              <c:numCache>
                <c:formatCode>0.0%</c:formatCode>
                <c:ptCount val="6"/>
                <c:pt idx="0">
                  <c:v>0.12219810023951906</c:v>
                </c:pt>
                <c:pt idx="1">
                  <c:v>8.0824361196565383E-3</c:v>
                </c:pt>
                <c:pt idx="2">
                  <c:v>0.3572922278621995</c:v>
                </c:pt>
                <c:pt idx="3">
                  <c:v>0.41251844680663508</c:v>
                </c:pt>
                <c:pt idx="4">
                  <c:v>8.2395945997609701E-2</c:v>
                </c:pt>
                <c:pt idx="5">
                  <c:v>1.7512842974380237E-2</c:v>
                </c:pt>
              </c:numCache>
            </c:numRef>
          </c:val>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Repartition du budget par  composante </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Pt>
          <c:dPt>
            <c:idx val="2"/>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fr-F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'Budget_Composante '!$A$5:$A$7</c:f>
              <c:strCache>
                <c:ptCount val="3"/>
                <c:pt idx="0">
                  <c:v>Composante 1</c:v>
                </c:pt>
                <c:pt idx="1">
                  <c:v>Composante 2</c:v>
                </c:pt>
                <c:pt idx="2">
                  <c:v>Composante 3</c:v>
                </c:pt>
              </c:strCache>
            </c:strRef>
          </c:cat>
          <c:val>
            <c:numRef>
              <c:f>'Budget_Composante '!$H$5:$H$7</c:f>
              <c:numCache>
                <c:formatCode>_(* #,##0.00_);_(* \(#,##0.00\);_(* "-"??_);_(@_)</c:formatCode>
                <c:ptCount val="3"/>
                <c:pt idx="0">
                  <c:v>994838.41280000005</c:v>
                </c:pt>
                <c:pt idx="1">
                  <c:v>2876457.8</c:v>
                </c:pt>
                <c:pt idx="2">
                  <c:v>532806.42000000004</c:v>
                </c:pt>
              </c:numCache>
            </c:numRef>
          </c:val>
        </c:ser>
        <c:dLbls>
          <c:showLegendKey val="0"/>
          <c:showVal val="0"/>
          <c:showCatName val="1"/>
          <c:showSerName val="0"/>
          <c:showPercent val="1"/>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56" l="0.70000000000000051" r="0.70000000000000051" t="0.75000000000000056" header="0.30000000000000027" footer="0.30000000000000027"/>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fr-FR"/>
              <a:t>Repartition du budget par source de financement</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fr-FR"/>
        </a:p>
      </c:txPr>
    </c:title>
    <c:autoTitleDeleted val="0"/>
    <c:plotArea>
      <c:layout/>
      <c:doughnut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dPt>
          <c:dPt>
            <c:idx val="2"/>
            <c:bubble3D val="0"/>
            <c:spPr>
              <a:solidFill>
                <a:srgbClr val="CC66FF"/>
              </a:solidFill>
              <a:ln>
                <a:noFill/>
              </a:ln>
              <a:effectLst/>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dPt>
          <c:dPt>
            <c:idx val="4"/>
            <c:bubble3D val="0"/>
            <c:spPr>
              <a:solidFill>
                <a:schemeClr val="tx2">
                  <a:lumMod val="40000"/>
                  <a:lumOff val="60000"/>
                </a:schemeClr>
              </a:solidFill>
              <a:ln>
                <a:noFill/>
              </a:ln>
              <a:effectLst/>
            </c:spPr>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2"/>
                    </a:solidFill>
                    <a:latin typeface="+mn-lt"/>
                    <a:ea typeface="+mn-ea"/>
                    <a:cs typeface="+mn-cs"/>
                  </a:defRPr>
                </a:pPr>
                <a:endParaRPr lang="fr-FR"/>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'Budget_Composante '!$B$4:$G$4</c:f>
              <c:strCache>
                <c:ptCount val="6"/>
                <c:pt idx="0">
                  <c:v>FIDA-PRÊT</c:v>
                </c:pt>
                <c:pt idx="1">
                  <c:v>FIDA-DON</c:v>
                </c:pt>
                <c:pt idx="2">
                  <c:v>ETAT</c:v>
                </c:pt>
                <c:pt idx="3">
                  <c:v>ASAP</c:v>
                </c:pt>
                <c:pt idx="4">
                  <c:v>OFID</c:v>
                </c:pt>
                <c:pt idx="5">
                  <c:v>BENEFICIAIRES</c:v>
                </c:pt>
              </c:strCache>
            </c:strRef>
          </c:cat>
          <c:val>
            <c:numRef>
              <c:f>'Budget_Composante '!$B$9:$G$9</c:f>
              <c:numCache>
                <c:formatCode>_(* #,##0.00_);_(* \(#,##0.00\);_(* "-"??_);_(@_)</c:formatCode>
                <c:ptCount val="6"/>
                <c:pt idx="0">
                  <c:v>47.236845647199836</c:v>
                </c:pt>
                <c:pt idx="1">
                  <c:v>0.23727875736075194</c:v>
                </c:pt>
                <c:pt idx="2">
                  <c:v>8.6443771124824451</c:v>
                </c:pt>
                <c:pt idx="3">
                  <c:v>6.0911954685635132</c:v>
                </c:pt>
                <c:pt idx="4">
                  <c:v>35.20309037426572</c:v>
                </c:pt>
                <c:pt idx="5">
                  <c:v>2.5872126401277358</c:v>
                </c:pt>
              </c:numCache>
            </c:numRef>
          </c:val>
        </c:ser>
        <c:dLbls>
          <c:showLegendKey val="0"/>
          <c:showVal val="0"/>
          <c:showCatName val="0"/>
          <c:showSerName val="0"/>
          <c:showPercent val="1"/>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fr-FR"/>
        </a:p>
      </c:txPr>
    </c:legend>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fr-FR"/>
    </a:p>
  </c:txPr>
  <c:printSettings>
    <c:headerFooter/>
    <c:pageMargins b="0.75000000000000056" l="0.70000000000000051" r="0.70000000000000051" t="0.75000000000000056" header="0.30000000000000027" footer="0.30000000000000027"/>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fr-FR"/>
              <a:t>BUDGET PAR CATEGORIE</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833333333333368E-2"/>
          <c:y val="0.30337780694079974"/>
          <c:w val="0.81388888888888999"/>
          <c:h val="0.5747947652376787"/>
        </c:manualLayout>
      </c:layout>
      <c:pie3DChart>
        <c:varyColors val="1"/>
        <c:ser>
          <c:idx val="0"/>
          <c:order val="0"/>
          <c:dPt>
            <c:idx val="0"/>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dPt>
          <c:dPt>
            <c:idx val="1"/>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dPt>
          <c:dPt>
            <c:idx val="2"/>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dPt>
          <c:dPt>
            <c:idx val="3"/>
            <c:bubble3D val="0"/>
            <c:spPr>
              <a:solidFill>
                <a:schemeClr val="accent6">
                  <a:lumMod val="40000"/>
                  <a:lumOff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dPt>
          <c:dPt>
            <c:idx val="4"/>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dPt>
          <c:dLbls>
            <c:dLbl>
              <c:idx val="0"/>
              <c:numFmt formatCode="0.00%" sourceLinked="0"/>
              <c:spPr>
                <a:solidFill>
                  <a:sysClr val="window" lastClr="FFFFFF"/>
                </a:solidFill>
                <a:ln>
                  <a:solidFill>
                    <a:srgbClr val="70AD47"/>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6"/>
                      </a:solidFill>
                      <a:latin typeface="+mn-lt"/>
                      <a:ea typeface="+mn-ea"/>
                      <a:cs typeface="+mn-cs"/>
                    </a:defRPr>
                  </a:pPr>
                  <a:endParaRPr lang="fr-FR"/>
                </a:p>
              </c:txPr>
              <c:dLblPos val="outEnd"/>
              <c:showLegendKey val="0"/>
              <c:showVal val="0"/>
              <c:showCatName val="1"/>
              <c:showSerName val="0"/>
              <c:showPercent val="1"/>
              <c:showBubbleSize val="0"/>
            </c:dLbl>
            <c:dLbl>
              <c:idx val="1"/>
              <c:numFmt formatCode="0.00%" sourceLinked="0"/>
              <c:spPr>
                <a:solidFill>
                  <a:sysClr val="window" lastClr="FFFFFF"/>
                </a:solidFill>
                <a:ln>
                  <a:solidFill>
                    <a:srgbClr val="70AD47"/>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5"/>
                      </a:solidFill>
                      <a:latin typeface="+mn-lt"/>
                      <a:ea typeface="+mn-ea"/>
                      <a:cs typeface="+mn-cs"/>
                    </a:defRPr>
                  </a:pPr>
                  <a:endParaRPr lang="fr-FR"/>
                </a:p>
              </c:txPr>
              <c:dLblPos val="bestFit"/>
              <c:showLegendKey val="0"/>
              <c:showVal val="0"/>
              <c:showCatName val="1"/>
              <c:showSerName val="0"/>
              <c:showPercent val="1"/>
              <c:showBubbleSize val="0"/>
              <c:extLst>
                <c:ext xmlns:c15="http://schemas.microsoft.com/office/drawing/2012/chart" uri="{CE6537A1-D6FC-4f65-9D91-7224C49458BB}"/>
              </c:extLst>
            </c:dLbl>
            <c:dLbl>
              <c:idx val="2"/>
              <c:numFmt formatCode="0.00%" sourceLinked="0"/>
              <c:spPr>
                <a:solidFill>
                  <a:sysClr val="window" lastClr="FFFFFF"/>
                </a:solidFill>
                <a:ln>
                  <a:solidFill>
                    <a:srgbClr val="70AD47"/>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4"/>
                      </a:solidFill>
                      <a:latin typeface="+mn-lt"/>
                      <a:ea typeface="+mn-ea"/>
                      <a:cs typeface="+mn-cs"/>
                    </a:defRPr>
                  </a:pPr>
                  <a:endParaRPr lang="fr-FR"/>
                </a:p>
              </c:txPr>
              <c:dLblPos val="outEnd"/>
              <c:showLegendKey val="0"/>
              <c:showVal val="0"/>
              <c:showCatName val="1"/>
              <c:showSerName val="0"/>
              <c:showPercent val="1"/>
              <c:showBubbleSize val="0"/>
            </c:dLbl>
            <c:dLbl>
              <c:idx val="3"/>
              <c:numFmt formatCode="0.00%" sourceLinked="0"/>
              <c:spPr>
                <a:solidFill>
                  <a:sysClr val="window" lastClr="FFFFFF"/>
                </a:solidFill>
                <a:ln>
                  <a:solidFill>
                    <a:srgbClr val="70AD47"/>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6">
                          <a:lumMod val="60000"/>
                        </a:schemeClr>
                      </a:solidFill>
                      <a:latin typeface="+mn-lt"/>
                      <a:ea typeface="+mn-ea"/>
                      <a:cs typeface="+mn-cs"/>
                    </a:defRPr>
                  </a:pPr>
                  <a:endParaRPr lang="fr-FR"/>
                </a:p>
              </c:txPr>
              <c:dLblPos val="outEnd"/>
              <c:showLegendKey val="0"/>
              <c:showVal val="0"/>
              <c:showCatName val="1"/>
              <c:showSerName val="0"/>
              <c:showPercent val="1"/>
              <c:showBubbleSize val="0"/>
            </c:dLbl>
            <c:dLbl>
              <c:idx val="4"/>
              <c:numFmt formatCode="0.00%" sourceLinked="0"/>
              <c:spPr>
                <a:solidFill>
                  <a:sysClr val="window" lastClr="FFFFFF"/>
                </a:solidFill>
                <a:ln>
                  <a:solidFill>
                    <a:srgbClr val="70AD47"/>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5">
                          <a:lumMod val="60000"/>
                        </a:schemeClr>
                      </a:solidFill>
                      <a:latin typeface="+mn-lt"/>
                      <a:ea typeface="+mn-ea"/>
                      <a:cs typeface="+mn-cs"/>
                    </a:defRPr>
                  </a:pPr>
                  <a:endParaRPr lang="fr-FR"/>
                </a:p>
              </c:txPr>
              <c:dLblPos val="outEnd"/>
              <c:showLegendKey val="0"/>
              <c:showVal val="0"/>
              <c:showCatName val="1"/>
              <c:showSerName val="0"/>
              <c:showPercent val="1"/>
              <c:showBubbleSize val="0"/>
            </c:dLbl>
            <c:numFmt formatCode="0.00%" sourceLinked="0"/>
            <c:spPr>
              <a:solidFill>
                <a:sysClr val="window" lastClr="FFFFFF"/>
              </a:solidFill>
              <a:ln>
                <a:solidFill>
                  <a:srgbClr val="70AD47"/>
                </a:solidFill>
              </a:ln>
              <a:effectLst/>
            </c:sp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'Budget-Categorie '!$B$4:$B$8</c:f>
              <c:strCache>
                <c:ptCount val="5"/>
                <c:pt idx="0">
                  <c:v>Equipement et matériel</c:v>
                </c:pt>
                <c:pt idx="1">
                  <c:v>Consultations</c:v>
                </c:pt>
                <c:pt idx="2">
                  <c:v>Dons et subventions</c:v>
                </c:pt>
                <c:pt idx="3">
                  <c:v>Formation</c:v>
                </c:pt>
                <c:pt idx="4">
                  <c:v>Salaires et indemnités</c:v>
                </c:pt>
              </c:strCache>
            </c:strRef>
          </c:cat>
          <c:val>
            <c:numRef>
              <c:f>'Budget-Categorie '!$I$4:$I$8</c:f>
              <c:numCache>
                <c:formatCode>_-* #\ ##0\ _€_-;\-* #\ ##0\ _€_-;_-* "-"??\ _€_-;_-@_-</c:formatCode>
                <c:ptCount val="5"/>
                <c:pt idx="0">
                  <c:v>3067255.9128</c:v>
                </c:pt>
                <c:pt idx="1">
                  <c:v>661225.84</c:v>
                </c:pt>
                <c:pt idx="2">
                  <c:v>0</c:v>
                </c:pt>
                <c:pt idx="3">
                  <c:v>149254</c:v>
                </c:pt>
                <c:pt idx="4">
                  <c:v>576366.88000000012</c:v>
                </c:pt>
              </c:numCache>
            </c:numRef>
          </c:val>
        </c:ser>
        <c:ser>
          <c:idx val="1"/>
          <c:order val="1"/>
          <c:tx>
            <c:strRef>
              <c:f>'REPARTITION PAR NATURE PIP'!$C$7</c:f>
              <c:strCache>
                <c:ptCount val="1"/>
                <c:pt idx="0">
                  <c:v>Budget National </c:v>
                </c:pt>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PIP'!$C$8:$C$18</c:f>
              <c:numCache>
                <c:formatCode>_(* #,##0.00_);_(* \(#,##0.00\);_(* "-"??_);_(@_)</c:formatCode>
                <c:ptCount val="11"/>
                <c:pt idx="1">
                  <c:v>0</c:v>
                </c:pt>
                <c:pt idx="2">
                  <c:v>0</c:v>
                </c:pt>
                <c:pt idx="3">
                  <c:v>23561.010000000002</c:v>
                </c:pt>
                <c:pt idx="4">
                  <c:v>280725.51</c:v>
                </c:pt>
                <c:pt idx="5">
                  <c:v>63900.000000000007</c:v>
                </c:pt>
                <c:pt idx="6">
                  <c:v>12520.720000000001</c:v>
                </c:pt>
                <c:pt idx="7">
                  <c:v>0</c:v>
                </c:pt>
                <c:pt idx="8">
                  <c:v>0</c:v>
                </c:pt>
                <c:pt idx="9">
                  <c:v>0</c:v>
                </c:pt>
                <c:pt idx="10" formatCode="#,##0.00">
                  <c:v>380707.24</c:v>
                </c:pt>
              </c:numCache>
            </c:numRef>
          </c:val>
        </c:ser>
        <c:ser>
          <c:idx val="2"/>
          <c:order val="2"/>
          <c:tx>
            <c:strRef>
              <c:f>'REPARTITION PAR NATURE PIP'!$D$7</c:f>
              <c:strCache>
                <c:ptCount val="1"/>
                <c:pt idx="0">
                  <c:v>Dons</c:v>
                </c:pt>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PIP'!$D$8:$D$18</c:f>
              <c:numCache>
                <c:formatCode>_(* #,##0.00_);_(* \(#,##0.00\);_(* "-"??_);_(@_)</c:formatCode>
                <c:ptCount val="11"/>
                <c:pt idx="0" formatCode="General">
                  <c:v>0</c:v>
                </c:pt>
                <c:pt idx="1">
                  <c:v>0</c:v>
                </c:pt>
                <c:pt idx="2">
                  <c:v>0</c:v>
                </c:pt>
                <c:pt idx="3">
                  <c:v>10450</c:v>
                </c:pt>
                <c:pt idx="4">
                  <c:v>0</c:v>
                </c:pt>
                <c:pt idx="5">
                  <c:v>0</c:v>
                </c:pt>
                <c:pt idx="6">
                  <c:v>0</c:v>
                </c:pt>
                <c:pt idx="7">
                  <c:v>0</c:v>
                </c:pt>
                <c:pt idx="8">
                  <c:v>0</c:v>
                </c:pt>
                <c:pt idx="9">
                  <c:v>0</c:v>
                </c:pt>
                <c:pt idx="10" formatCode="#,##0.00">
                  <c:v>10450</c:v>
                </c:pt>
              </c:numCache>
            </c:numRef>
          </c:val>
        </c:ser>
        <c:ser>
          <c:idx val="3"/>
          <c:order val="3"/>
          <c:tx>
            <c:strRef>
              <c:f>'REPARTITION PAR NATURE PIP'!$E$7</c:f>
              <c:strCache>
                <c:ptCount val="1"/>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PIP'!$E$8:$E$18</c:f>
              <c:numCache>
                <c:formatCode>_(* #,##0.00_);_(* \(#,##0.00\);_(* "-"??_);_(@_)</c:formatCode>
                <c:ptCount val="11"/>
                <c:pt idx="0" formatCode="General">
                  <c:v>0</c:v>
                </c:pt>
                <c:pt idx="1">
                  <c:v>500</c:v>
                </c:pt>
                <c:pt idx="2">
                  <c:v>6000</c:v>
                </c:pt>
                <c:pt idx="3">
                  <c:v>174662.5</c:v>
                </c:pt>
                <c:pt idx="4">
                  <c:v>137100</c:v>
                </c:pt>
                <c:pt idx="5">
                  <c:v>0</c:v>
                </c:pt>
                <c:pt idx="6">
                  <c:v>0</c:v>
                </c:pt>
                <c:pt idx="7">
                  <c:v>0</c:v>
                </c:pt>
                <c:pt idx="8">
                  <c:v>0</c:v>
                </c:pt>
                <c:pt idx="9">
                  <c:v>0</c:v>
                </c:pt>
                <c:pt idx="10" formatCode="#,##0.00">
                  <c:v>268262.5</c:v>
                </c:pt>
              </c:numCache>
            </c:numRef>
          </c:val>
        </c:ser>
        <c:ser>
          <c:idx val="4"/>
          <c:order val="4"/>
          <c:tx>
            <c:strRef>
              <c:f>'REPARTITION PAR NATURE PIP'!$F$7</c:f>
              <c:strCache>
                <c:ptCount val="1"/>
                <c:pt idx="0">
                  <c:v>Prêts</c:v>
                </c:pt>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PIP'!$F$8:$F$18</c:f>
              <c:numCache>
                <c:formatCode>_(* #,##0.00_);_(* \(#,##0.00\);_(* "-"??_);_(@_)</c:formatCode>
                <c:ptCount val="11"/>
                <c:pt idx="0" formatCode="General">
                  <c:v>0</c:v>
                </c:pt>
                <c:pt idx="1">
                  <c:v>523958.08</c:v>
                </c:pt>
                <c:pt idx="2">
                  <c:v>30000</c:v>
                </c:pt>
                <c:pt idx="3">
                  <c:v>1292917.8028000002</c:v>
                </c:pt>
                <c:pt idx="4">
                  <c:v>156000</c:v>
                </c:pt>
                <c:pt idx="5">
                  <c:v>12000</c:v>
                </c:pt>
                <c:pt idx="6">
                  <c:v>65483.28</c:v>
                </c:pt>
                <c:pt idx="7">
                  <c:v>0</c:v>
                </c:pt>
                <c:pt idx="8">
                  <c:v>0</c:v>
                </c:pt>
                <c:pt idx="9">
                  <c:v>0</c:v>
                </c:pt>
                <c:pt idx="10" formatCode="#,##0.00">
                  <c:v>2080359.1628</c:v>
                </c:pt>
              </c:numCache>
            </c:numRef>
          </c:val>
        </c:ser>
        <c:ser>
          <c:idx val="5"/>
          <c:order val="5"/>
          <c:tx>
            <c:strRef>
              <c:f>'REPARTITION PAR NATURE PIP'!$G$7</c:f>
              <c:strCache>
                <c:ptCount val="1"/>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PIP'!$G$8:$G$18</c:f>
              <c:numCache>
                <c:formatCode>_(* #,##0.00_);_(* \(#,##0.00\);_(* "-"??_);_(@_)</c:formatCode>
                <c:ptCount val="11"/>
                <c:pt idx="0" formatCode="General">
                  <c:v>0</c:v>
                </c:pt>
                <c:pt idx="1">
                  <c:v>19824.800000000003</c:v>
                </c:pt>
                <c:pt idx="2">
                  <c:v>0</c:v>
                </c:pt>
                <c:pt idx="3">
                  <c:v>39824.939999999995</c:v>
                </c:pt>
                <c:pt idx="4">
                  <c:v>1199630.49</c:v>
                </c:pt>
                <c:pt idx="5">
                  <c:v>291100</c:v>
                </c:pt>
                <c:pt idx="6">
                  <c:v>0</c:v>
                </c:pt>
                <c:pt idx="7">
                  <c:v>0</c:v>
                </c:pt>
                <c:pt idx="8">
                  <c:v>0</c:v>
                </c:pt>
                <c:pt idx="9">
                  <c:v>0</c:v>
                </c:pt>
                <c:pt idx="10" formatCode="#,##0.00">
                  <c:v>1550380.23</c:v>
                </c:pt>
              </c:numCache>
            </c:numRef>
          </c:val>
        </c:ser>
        <c:ser>
          <c:idx val="6"/>
          <c:order val="6"/>
          <c:tx>
            <c:strRef>
              <c:f>'REPARTITION PAR NATURE PIP'!$H$7</c:f>
              <c:strCache>
                <c:ptCount val="1"/>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PIP'!$H$8:$H$18</c:f>
              <c:numCache>
                <c:formatCode>_(* #,##0.00_);_(* \(#,##0.00\);_(* "-"??_);_(@_)</c:formatCode>
                <c:ptCount val="11"/>
                <c:pt idx="0" formatCode="General">
                  <c:v>0</c:v>
                </c:pt>
                <c:pt idx="1">
                  <c:v>0</c:v>
                </c:pt>
                <c:pt idx="2">
                  <c:v>0</c:v>
                </c:pt>
                <c:pt idx="3">
                  <c:v>50000</c:v>
                </c:pt>
                <c:pt idx="4">
                  <c:v>63943.5</c:v>
                </c:pt>
                <c:pt idx="5">
                  <c:v>0</c:v>
                </c:pt>
                <c:pt idx="6">
                  <c:v>0</c:v>
                </c:pt>
                <c:pt idx="7">
                  <c:v>0</c:v>
                </c:pt>
                <c:pt idx="8">
                  <c:v>0</c:v>
                </c:pt>
                <c:pt idx="9">
                  <c:v>0</c:v>
                </c:pt>
                <c:pt idx="10" formatCode="#,##0.00">
                  <c:v>113943.5</c:v>
                </c:pt>
              </c:numCache>
            </c:numRef>
          </c:val>
        </c:ser>
        <c:ser>
          <c:idx val="7"/>
          <c:order val="7"/>
          <c:tx>
            <c:strRef>
              <c:f>'REPARTITION PAR NATURE PIP'!$I$7</c:f>
              <c:strCache>
                <c:ptCount val="1"/>
                <c:pt idx="0">
                  <c:v>Total</c:v>
                </c:pt>
              </c:strCache>
            </c:strRef>
          </c:tx>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multiLvlStrRef>
              <c:f>'REPARTITION PAR NATURE PIP'!$A$8:$B$18</c:f>
              <c:multiLvlStrCache>
                <c:ptCount val="11"/>
                <c:lvl>
                  <c:pt idx="1">
                    <c:v>Personnel</c:v>
                  </c:pt>
                  <c:pt idx="2">
                    <c:v>Achats de Biens et Services</c:v>
                  </c:pt>
                  <c:pt idx="3">
                    <c:v>Immobilisations incorporelles</c:v>
                  </c:pt>
                  <c:pt idx="4">
                    <c:v>Acquisition et aménagement des sols et sous-sols</c:v>
                  </c:pt>
                  <c:pt idx="5">
                    <c:v>Acquisitions, constructions et grosses réparations des immeubles</c:v>
                  </c:pt>
                  <c:pt idx="6">
                    <c:v>Acquisitions et grosses réparations du matériel et mobilier</c:v>
                  </c:pt>
                  <c:pt idx="7">
                    <c:v>Acquisition, construction, grosses réparations des équipements militaires</c:v>
                  </c:pt>
                  <c:pt idx="8">
                    <c:v>Prises de participations – placements cautionnement</c:v>
                  </c:pt>
                  <c:pt idx="9">
                    <c:v>Transferts en capital</c:v>
                  </c:pt>
                  <c:pt idx="10">
                    <c:v>TOTAL</c:v>
                  </c:pt>
                </c:lvl>
                <c:lvl>
                  <c:pt idx="0">
                    <c:v>Article</c:v>
                  </c:pt>
                  <c:pt idx="1">
                    <c:v>61</c:v>
                  </c:pt>
                  <c:pt idx="2">
                    <c:v>62</c:v>
                  </c:pt>
                  <c:pt idx="3">
                    <c:v>21</c:v>
                  </c:pt>
                  <c:pt idx="4">
                    <c:v>22</c:v>
                  </c:pt>
                  <c:pt idx="5">
                    <c:v>23</c:v>
                  </c:pt>
                  <c:pt idx="6">
                    <c:v>24</c:v>
                  </c:pt>
                  <c:pt idx="7">
                    <c:v>25</c:v>
                  </c:pt>
                  <c:pt idx="8">
                    <c:v>26</c:v>
                  </c:pt>
                  <c:pt idx="9">
                    <c:v>27</c:v>
                  </c:pt>
                  <c:pt idx="10">
                    <c:v>-</c:v>
                  </c:pt>
                </c:lvl>
              </c:multiLvlStrCache>
            </c:multiLvlStrRef>
          </c:cat>
          <c:val>
            <c:numRef>
              <c:f>'REPARTITION PAR NATURE PIP'!$I$8:$I$18</c:f>
              <c:numCache>
                <c:formatCode>_(* #,##0.00_);_(* \(#,##0.00\);_(* "-"??_);_(@_)</c:formatCode>
                <c:ptCount val="11"/>
                <c:pt idx="1">
                  <c:v>544282.88000000012</c:v>
                </c:pt>
                <c:pt idx="2">
                  <c:v>36000</c:v>
                </c:pt>
                <c:pt idx="3">
                  <c:v>1591416.2528000001</c:v>
                </c:pt>
                <c:pt idx="4">
                  <c:v>1837399.5</c:v>
                </c:pt>
                <c:pt idx="5">
                  <c:v>367000</c:v>
                </c:pt>
                <c:pt idx="6">
                  <c:v>78004</c:v>
                </c:pt>
                <c:pt idx="7">
                  <c:v>0</c:v>
                </c:pt>
                <c:pt idx="8">
                  <c:v>0</c:v>
                </c:pt>
                <c:pt idx="9">
                  <c:v>0</c:v>
                </c:pt>
                <c:pt idx="10" formatCode="#,##0.00">
                  <c:v>4454102.6327999998</c:v>
                </c:pt>
              </c:numCache>
            </c:numRef>
          </c:val>
        </c:ser>
        <c:dLbls>
          <c:showLegendKey val="0"/>
          <c:showVal val="1"/>
          <c:showCatName val="0"/>
          <c:showSerName val="0"/>
          <c:showPercent val="0"/>
          <c:showBubbleSize val="0"/>
          <c:showLeaderLines val="0"/>
        </c:dLbls>
      </c:pie3D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122" l="0.70000000000000062" r="0.70000000000000062" t="0.750000000000001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r>
              <a:rPr lang="fr-FR"/>
              <a:t>Répartition des dépenses par rubrique</a:t>
            </a:r>
          </a:p>
        </c:rich>
      </c:tx>
      <c:layout>
        <c:manualLayout>
          <c:xMode val="edge"/>
          <c:yMode val="edge"/>
          <c:x val="0.25328168053698824"/>
          <c:y val="2.214984281459971E-2"/>
        </c:manualLayout>
      </c:layout>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fr-F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5">
                  <a:shade val="65000"/>
                  <a:alpha val="90000"/>
                </a:schemeClr>
              </a:solidFill>
              <a:ln w="19050">
                <a:solidFill>
                  <a:schemeClr val="accent5">
                    <a:shade val="65000"/>
                    <a:lumMod val="75000"/>
                  </a:schemeClr>
                </a:solidFill>
              </a:ln>
              <a:effectLst>
                <a:innerShdw blurRad="114300">
                  <a:schemeClr val="accent5">
                    <a:shade val="65000"/>
                    <a:lumMod val="75000"/>
                  </a:schemeClr>
                </a:innerShdw>
              </a:effectLst>
              <a:scene3d>
                <a:camera prst="orthographicFront"/>
                <a:lightRig rig="threePt" dir="t"/>
              </a:scene3d>
              <a:sp3d contourW="19050" prstMaterial="flat">
                <a:contourClr>
                  <a:schemeClr val="accent5">
                    <a:shade val="65000"/>
                    <a:lumMod val="75000"/>
                  </a:schemeClr>
                </a:contourClr>
              </a:sp3d>
            </c:spPr>
          </c:dPt>
          <c:dPt>
            <c:idx val="1"/>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dPt>
          <c:dPt>
            <c:idx val="2"/>
            <c:bubble3D val="0"/>
            <c:spPr>
              <a:solidFill>
                <a:schemeClr val="accent4">
                  <a:lumMod val="60000"/>
                  <a:lumOff val="40000"/>
                </a:schemeClr>
              </a:solidFill>
              <a:ln w="19050">
                <a:solidFill>
                  <a:schemeClr val="accent5">
                    <a:tint val="65000"/>
                    <a:lumMod val="75000"/>
                  </a:schemeClr>
                </a:solidFill>
              </a:ln>
              <a:effectLst>
                <a:innerShdw blurRad="114300">
                  <a:schemeClr val="accent5">
                    <a:tint val="65000"/>
                    <a:lumMod val="75000"/>
                  </a:schemeClr>
                </a:innerShdw>
              </a:effectLst>
              <a:scene3d>
                <a:camera prst="orthographicFront"/>
                <a:lightRig rig="threePt" dir="t"/>
              </a:scene3d>
              <a:sp3d contourW="19050" prstMaterial="flat">
                <a:contourClr>
                  <a:schemeClr val="accent5">
                    <a:tint val="65000"/>
                    <a:lumMod val="75000"/>
                  </a:schemeClr>
                </a:contourClr>
              </a:sp3d>
            </c:spPr>
          </c:dPt>
          <c:dLbls>
            <c:dLbl>
              <c:idx val="0"/>
              <c:spPr>
                <a:solidFill>
                  <a:schemeClr val="lt1">
                    <a:alpha val="90000"/>
                  </a:schemeClr>
                </a:solidFill>
                <a:ln w="12700" cap="flat" cmpd="sng" algn="ctr">
                  <a:solidFill>
                    <a:schemeClr val="accent5">
                      <a:shade val="65000"/>
                    </a:schemeClr>
                  </a:solidFill>
                  <a:round/>
                </a:ln>
                <a:effectLst>
                  <a:outerShdw blurRad="50800" dist="38100" dir="2700000" algn="tl" rotWithShape="0">
                    <a:schemeClr val="accent5">
                      <a:shade val="65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effectLst/>
                      <a:latin typeface="+mn-lt"/>
                      <a:ea typeface="+mn-ea"/>
                      <a:cs typeface="+mn-cs"/>
                    </a:defRPr>
                  </a:pPr>
                  <a:endParaRPr lang="fr-FR"/>
                </a:p>
              </c:txPr>
              <c:dLblPos val="inEnd"/>
              <c:showLegendKey val="0"/>
              <c:showVal val="0"/>
              <c:showCatName val="1"/>
              <c:showSerName val="0"/>
              <c:showPercent val="1"/>
              <c:showBubbleSize val="0"/>
            </c:dLbl>
            <c:dLbl>
              <c:idx val="1"/>
              <c:spPr>
                <a:solidFill>
                  <a:schemeClr val="lt1">
                    <a:alpha val="90000"/>
                  </a:schemeClr>
                </a:solidFill>
                <a:ln w="12700" cap="flat" cmpd="sng" algn="ctr">
                  <a:solidFill>
                    <a:schemeClr val="accent5"/>
                  </a:solidFill>
                  <a:round/>
                </a:ln>
                <a:effectLst>
                  <a:outerShdw blurRad="50800" dist="38100" dir="2700000" algn="tl" rotWithShape="0">
                    <a:schemeClr val="accent5">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effectLst/>
                      <a:latin typeface="+mn-lt"/>
                      <a:ea typeface="+mn-ea"/>
                      <a:cs typeface="+mn-cs"/>
                    </a:defRPr>
                  </a:pPr>
                  <a:endParaRPr lang="fr-FR"/>
                </a:p>
              </c:txPr>
              <c:dLblPos val="inEnd"/>
              <c:showLegendKey val="0"/>
              <c:showVal val="0"/>
              <c:showCatName val="1"/>
              <c:showSerName val="0"/>
              <c:showPercent val="0"/>
              <c:showBubbleSize val="0"/>
              <c:extLst>
                <c:ext xmlns:c15="http://schemas.microsoft.com/office/drawing/2012/chart" uri="{CE6537A1-D6FC-4f65-9D91-7224C49458BB}"/>
              </c:extLst>
            </c:dLbl>
            <c:dLbl>
              <c:idx val="2"/>
              <c:spPr>
                <a:solidFill>
                  <a:schemeClr val="lt1">
                    <a:alpha val="90000"/>
                  </a:schemeClr>
                </a:solidFill>
                <a:ln w="12700" cap="flat" cmpd="sng" algn="ctr">
                  <a:solidFill>
                    <a:schemeClr val="accent5">
                      <a:tint val="65000"/>
                    </a:schemeClr>
                  </a:solidFill>
                  <a:round/>
                </a:ln>
                <a:effectLst>
                  <a:outerShdw blurRad="50800" dist="38100" dir="2700000" algn="tl" rotWithShape="0">
                    <a:schemeClr val="accent5">
                      <a:tint val="65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effectLst/>
                      <a:latin typeface="+mn-lt"/>
                      <a:ea typeface="+mn-ea"/>
                      <a:cs typeface="+mn-cs"/>
                    </a:defRPr>
                  </a:pPr>
                  <a:endParaRPr lang="fr-FR"/>
                </a:p>
              </c:txPr>
              <c:dLblPos val="inEnd"/>
              <c:showLegendKey val="0"/>
              <c:showVal val="0"/>
              <c:showCatName val="1"/>
              <c:showSerName val="0"/>
              <c:showPercent val="1"/>
              <c:showBubbleSize val="0"/>
            </c:dLbl>
            <c:spPr>
              <a:solidFill>
                <a:sysClr val="window" lastClr="FFFFFF">
                  <a:alpha val="90000"/>
                </a:sysClr>
              </a:solidFill>
              <a:ln w="12700" cap="flat" cmpd="sng" algn="ctr">
                <a:solidFill>
                  <a:srgbClr val="4472C4"/>
                </a:solidFill>
                <a:round/>
              </a:ln>
              <a:effectLst>
                <a:outerShdw blurRad="50800" dist="38100" dir="2700000" algn="tl" rotWithShape="0">
                  <a:srgbClr val="4472C4">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effectLst/>
                    <a:latin typeface="+mn-lt"/>
                    <a:ea typeface="+mn-ea"/>
                    <a:cs typeface="+mn-cs"/>
                  </a:defRPr>
                </a:pPr>
                <a:endParaRPr lang="fr-FR"/>
              </a:p>
            </c:txPr>
            <c:dLblPos val="inEnd"/>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'Budget-Categorie fonctionnemt'!$A$17:$C$17</c:f>
              <c:strCache>
                <c:ptCount val="3"/>
                <c:pt idx="0">
                  <c:v>Dépenses d'investissement</c:v>
                </c:pt>
                <c:pt idx="2">
                  <c:v>Dépenses de fonctionnement</c:v>
                </c:pt>
              </c:strCache>
            </c:strRef>
          </c:cat>
          <c:val>
            <c:numRef>
              <c:f>'Budget-Categorie fonctionnemt'!$A$18:$C$18</c:f>
              <c:numCache>
                <c:formatCode>General</c:formatCode>
                <c:ptCount val="3"/>
                <c:pt idx="0" formatCode="_(* #,##0.00_);_(* \(#,##0.00\);_(* &quot;-&quot;??_);_(@_)">
                  <c:v>3877735.7527999999</c:v>
                </c:pt>
                <c:pt idx="2" formatCode="_-* #\ ##0\ _€_-;\-* #\ ##0\ _€_-;_-* &quot;-&quot;??\ _€_-;_-@_-">
                  <c:v>576366.88000000012</c:v>
                </c:pt>
              </c:numCache>
            </c:numRef>
          </c:val>
        </c:ser>
        <c:dLbls>
          <c:dLblPos val="inEnd"/>
          <c:showLegendKey val="0"/>
          <c:showVal val="0"/>
          <c:showCatName val="1"/>
          <c:showSerName val="0"/>
          <c:showPercent val="0"/>
          <c:showBubbleSize val="0"/>
          <c:showLeaderLines val="1"/>
        </c:dLbls>
      </c:pie3DChart>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22" l="0.70000000000000018" r="0.70000000000000018" t="0.75000000000000022" header="0.3000000000000001" footer="0.30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3</xdr:col>
      <xdr:colOff>41563</xdr:colOff>
      <xdr:row>18</xdr:row>
      <xdr:rowOff>124691</xdr:rowOff>
    </xdr:from>
    <xdr:to>
      <xdr:col>9</xdr:col>
      <xdr:colOff>665018</xdr:colOff>
      <xdr:row>44</xdr:row>
      <xdr:rowOff>62345</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12</xdr:row>
      <xdr:rowOff>93345</xdr:rowOff>
    </xdr:from>
    <xdr:to>
      <xdr:col>4</xdr:col>
      <xdr:colOff>426720</xdr:colOff>
      <xdr:row>28</xdr:row>
      <xdr:rowOff>155257</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598170</xdr:colOff>
      <xdr:row>35</xdr:row>
      <xdr:rowOff>91440</xdr:rowOff>
    </xdr:from>
    <xdr:to>
      <xdr:col>6</xdr:col>
      <xdr:colOff>38100</xdr:colOff>
      <xdr:row>54</xdr:row>
      <xdr:rowOff>57150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93569</xdr:colOff>
      <xdr:row>13</xdr:row>
      <xdr:rowOff>102253</xdr:rowOff>
    </xdr:from>
    <xdr:to>
      <xdr:col>8</xdr:col>
      <xdr:colOff>285750</xdr:colOff>
      <xdr:row>34</xdr:row>
      <xdr:rowOff>133350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546848</xdr:colOff>
      <xdr:row>14</xdr:row>
      <xdr:rowOff>76201</xdr:rowOff>
    </xdr:from>
    <xdr:to>
      <xdr:col>14</xdr:col>
      <xdr:colOff>347382</xdr:colOff>
      <xdr:row>31</xdr:row>
      <xdr:rowOff>64995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CM33"/>
  <sheetViews>
    <sheetView topLeftCell="B1" zoomScaleNormal="100" workbookViewId="0">
      <pane xSplit="2" ySplit="5" topLeftCell="D15" activePane="bottomRight" state="frozen"/>
      <selection activeCell="B1" sqref="B1"/>
      <selection pane="topRight" activeCell="D1" sqref="D1"/>
      <selection pane="bottomLeft" activeCell="B6" sqref="B6"/>
      <selection pane="bottomRight" activeCell="B19" sqref="B19:B21"/>
    </sheetView>
  </sheetViews>
  <sheetFormatPr baseColWidth="10" defaultColWidth="11.44140625" defaultRowHeight="13.2" x14ac:dyDescent="0.25"/>
  <cols>
    <col min="1" max="1" width="11" style="1" customWidth="1"/>
    <col min="2" max="2" width="60.109375" style="30" customWidth="1"/>
    <col min="3" max="3" width="14.109375" style="30" hidden="1" customWidth="1"/>
    <col min="4" max="4" width="11.5546875" style="31" customWidth="1"/>
    <col min="5" max="5" width="12" style="32" customWidth="1"/>
    <col min="6" max="6" width="12.44140625" style="32" customWidth="1"/>
    <col min="7" max="7" width="8.5546875" style="32" customWidth="1"/>
    <col min="8" max="8" width="17.109375" style="33" customWidth="1"/>
    <col min="9" max="9" width="7.44140625" style="33" customWidth="1"/>
    <col min="10" max="10" width="12.44140625" style="34" customWidth="1"/>
    <col min="11" max="11" width="7.5546875" style="34" customWidth="1"/>
    <col min="12" max="12" width="15.44140625" style="34" customWidth="1"/>
    <col min="13" max="13" width="8.44140625" style="34" customWidth="1"/>
    <col min="14" max="14" width="12.5546875" style="34" customWidth="1"/>
    <col min="15" max="15" width="8.44140625" style="34" customWidth="1"/>
    <col min="16" max="16" width="15.88671875" style="34" customWidth="1"/>
    <col min="17" max="17" width="8" style="34" customWidth="1"/>
    <col min="18" max="18" width="19.44140625" style="34" customWidth="1"/>
    <col min="19" max="19" width="15.109375" style="33" customWidth="1"/>
    <col min="20" max="20" width="16.5546875" style="35" customWidth="1"/>
    <col min="21" max="21" width="14.44140625" style="36" customWidth="1"/>
    <col min="22" max="22" width="5.5546875" style="35" customWidth="1"/>
    <col min="23" max="23" width="3.5546875" style="37" customWidth="1"/>
    <col min="24" max="24" width="4.5546875" style="35" customWidth="1"/>
    <col min="25" max="25" width="4" style="35" customWidth="1"/>
    <col min="26" max="26" width="13.44140625" style="14" customWidth="1"/>
    <col min="27" max="27" width="8.5546875" style="3" customWidth="1"/>
    <col min="28" max="28" width="26.44140625" style="4" customWidth="1"/>
    <col min="29" max="91" width="11.44140625" style="4"/>
    <col min="92" max="16384" width="11.44140625" style="5"/>
  </cols>
  <sheetData>
    <row r="1" spans="1:29" ht="15.6" customHeight="1" x14ac:dyDescent="0.25">
      <c r="A1" s="541"/>
      <c r="B1" s="722" t="s">
        <v>55</v>
      </c>
      <c r="C1" s="722"/>
      <c r="D1" s="722"/>
      <c r="E1" s="722"/>
      <c r="F1" s="722"/>
      <c r="G1" s="722"/>
      <c r="H1" s="722"/>
      <c r="I1" s="722"/>
      <c r="J1" s="722"/>
      <c r="K1" s="722"/>
      <c r="L1" s="722"/>
      <c r="M1" s="722"/>
      <c r="N1" s="722"/>
      <c r="O1" s="722"/>
      <c r="P1" s="722"/>
      <c r="Q1" s="722"/>
      <c r="R1" s="722"/>
      <c r="S1" s="722"/>
      <c r="T1" s="722"/>
      <c r="U1" s="722"/>
      <c r="V1" s="722"/>
      <c r="W1" s="722"/>
      <c r="X1" s="722"/>
      <c r="Y1" s="722"/>
      <c r="Z1" s="2"/>
    </row>
    <row r="2" spans="1:29" ht="8.4" customHeight="1" x14ac:dyDescent="0.25">
      <c r="B2" s="6"/>
      <c r="C2" s="6"/>
      <c r="D2" s="7"/>
      <c r="E2" s="8"/>
      <c r="F2" s="8"/>
      <c r="G2" s="8"/>
      <c r="H2" s="9"/>
      <c r="I2" s="9"/>
      <c r="J2" s="10"/>
      <c r="K2" s="10"/>
      <c r="L2" s="10"/>
      <c r="M2" s="10"/>
      <c r="N2" s="10"/>
      <c r="O2" s="10"/>
      <c r="P2" s="10"/>
      <c r="Q2" s="10"/>
      <c r="R2" s="10"/>
      <c r="S2" s="9"/>
      <c r="T2" s="11"/>
      <c r="U2" s="12"/>
      <c r="V2" s="11"/>
      <c r="W2" s="11"/>
      <c r="X2" s="11"/>
      <c r="Y2" s="13"/>
      <c r="AA2" s="1"/>
    </row>
    <row r="3" spans="1:29" s="4" customFormat="1" ht="44.4" customHeight="1" x14ac:dyDescent="0.25">
      <c r="A3" s="720" t="s">
        <v>0</v>
      </c>
      <c r="B3" s="720" t="s">
        <v>65</v>
      </c>
      <c r="C3" s="727" t="s">
        <v>52</v>
      </c>
      <c r="D3" s="728"/>
      <c r="E3" s="728"/>
      <c r="F3" s="729"/>
      <c r="G3" s="723" t="s">
        <v>4</v>
      </c>
      <c r="H3" s="723"/>
      <c r="I3" s="723"/>
      <c r="J3" s="723"/>
      <c r="K3" s="723"/>
      <c r="L3" s="723"/>
      <c r="M3" s="723"/>
      <c r="N3" s="723"/>
      <c r="O3" s="723"/>
      <c r="P3" s="723"/>
      <c r="Q3" s="723"/>
      <c r="R3" s="723"/>
      <c r="S3" s="723"/>
      <c r="T3" s="724" t="s">
        <v>5</v>
      </c>
      <c r="U3" s="724" t="s">
        <v>242</v>
      </c>
      <c r="V3" s="726" t="s">
        <v>7</v>
      </c>
      <c r="W3" s="720"/>
      <c r="X3" s="720"/>
      <c r="Y3" s="720"/>
      <c r="Z3" s="721" t="s">
        <v>25</v>
      </c>
      <c r="AA3" s="477" t="s">
        <v>9</v>
      </c>
    </row>
    <row r="4" spans="1:29" s="4" customFormat="1" ht="26.4" x14ac:dyDescent="0.25">
      <c r="A4" s="720"/>
      <c r="B4" s="720"/>
      <c r="C4" s="29" t="s">
        <v>53</v>
      </c>
      <c r="D4" s="162" t="s">
        <v>1</v>
      </c>
      <c r="E4" s="163" t="s">
        <v>54</v>
      </c>
      <c r="F4" s="164" t="s">
        <v>3</v>
      </c>
      <c r="G4" s="165" t="s">
        <v>10</v>
      </c>
      <c r="H4" s="166" t="s">
        <v>11</v>
      </c>
      <c r="I4" s="166" t="s">
        <v>10</v>
      </c>
      <c r="J4" s="166" t="s">
        <v>12</v>
      </c>
      <c r="K4" s="166" t="s">
        <v>10</v>
      </c>
      <c r="L4" s="166" t="s">
        <v>13</v>
      </c>
      <c r="M4" s="166" t="s">
        <v>10</v>
      </c>
      <c r="N4" s="166" t="s">
        <v>14</v>
      </c>
      <c r="O4" s="166" t="s">
        <v>10</v>
      </c>
      <c r="P4" s="166" t="s">
        <v>15</v>
      </c>
      <c r="Q4" s="166" t="s">
        <v>10</v>
      </c>
      <c r="R4" s="166" t="s">
        <v>16</v>
      </c>
      <c r="S4" s="167" t="s">
        <v>17</v>
      </c>
      <c r="T4" s="725"/>
      <c r="U4" s="725"/>
      <c r="V4" s="65" t="s">
        <v>18</v>
      </c>
      <c r="W4" s="65" t="s">
        <v>19</v>
      </c>
      <c r="X4" s="65" t="s">
        <v>20</v>
      </c>
      <c r="Y4" s="65" t="s">
        <v>21</v>
      </c>
      <c r="Z4" s="721"/>
      <c r="AA4" s="477"/>
    </row>
    <row r="5" spans="1:29" s="199" customFormat="1" ht="30.6" customHeight="1" x14ac:dyDescent="0.25">
      <c r="A5" s="191">
        <v>1</v>
      </c>
      <c r="B5" s="192" t="s">
        <v>22</v>
      </c>
      <c r="C5" s="193"/>
      <c r="D5" s="194">
        <f>'PTBA 2019 C1'!P39</f>
        <v>0</v>
      </c>
      <c r="E5" s="195"/>
      <c r="F5" s="193"/>
      <c r="G5" s="196"/>
      <c r="H5" s="197"/>
      <c r="I5" s="197"/>
      <c r="J5" s="197"/>
      <c r="K5" s="196"/>
      <c r="L5" s="197"/>
      <c r="M5" s="196"/>
      <c r="N5" s="197"/>
      <c r="O5" s="197"/>
      <c r="P5" s="197"/>
      <c r="Q5" s="197"/>
      <c r="R5" s="197"/>
      <c r="S5" s="193"/>
      <c r="T5" s="193"/>
      <c r="U5" s="193"/>
      <c r="V5" s="193"/>
      <c r="W5" s="193"/>
      <c r="X5" s="193"/>
      <c r="Y5" s="193"/>
      <c r="Z5" s="198"/>
      <c r="AA5" s="198"/>
    </row>
    <row r="6" spans="1:29" s="322" customFormat="1" ht="28.8" x14ac:dyDescent="0.3">
      <c r="A6" s="169" t="s">
        <v>56</v>
      </c>
      <c r="B6" s="169" t="s">
        <v>149</v>
      </c>
      <c r="C6" s="315"/>
      <c r="D6" s="316"/>
      <c r="E6" s="317"/>
      <c r="F6" s="318"/>
      <c r="G6" s="319"/>
      <c r="H6" s="319">
        <f>H7+H11+H13</f>
        <v>528240.41280000005</v>
      </c>
      <c r="I6" s="319"/>
      <c r="J6" s="319">
        <f>J7+J11+J13</f>
        <v>0</v>
      </c>
      <c r="K6" s="320"/>
      <c r="L6" s="319">
        <f>L7+L11+L13</f>
        <v>4500</v>
      </c>
      <c r="M6" s="319"/>
      <c r="N6" s="300">
        <f>N7+N11+N13</f>
        <v>0</v>
      </c>
      <c r="O6" s="319"/>
      <c r="P6" s="319">
        <f>P7+P11+P13</f>
        <v>0</v>
      </c>
      <c r="Q6" s="319"/>
      <c r="R6" s="319">
        <f>R7+R11+R13</f>
        <v>0</v>
      </c>
      <c r="S6" s="300">
        <f>S7+S11+S13</f>
        <v>532740.41280000005</v>
      </c>
      <c r="T6" s="300"/>
      <c r="U6" s="300"/>
      <c r="V6" s="300"/>
      <c r="W6" s="300"/>
      <c r="X6" s="300"/>
      <c r="Y6" s="300"/>
      <c r="Z6" s="321"/>
      <c r="AA6" s="321"/>
      <c r="AB6" s="391">
        <f>S6-(R6+P6+N6+L6+J6+H6)</f>
        <v>0</v>
      </c>
    </row>
    <row r="7" spans="1:29" s="307" customFormat="1" ht="28.8" x14ac:dyDescent="0.3">
      <c r="A7" s="303" t="s">
        <v>57</v>
      </c>
      <c r="B7" s="303" t="s">
        <v>155</v>
      </c>
      <c r="C7" s="201"/>
      <c r="D7" s="201"/>
      <c r="E7" s="304"/>
      <c r="F7" s="308"/>
      <c r="G7" s="301"/>
      <c r="H7" s="301">
        <f>SUM(H8:H10)</f>
        <v>467570.41279999999</v>
      </c>
      <c r="I7" s="301"/>
      <c r="J7" s="301">
        <f>SUM(J8:J10)</f>
        <v>0</v>
      </c>
      <c r="K7" s="302"/>
      <c r="L7" s="301">
        <f>SUM(L8:L10)</f>
        <v>0</v>
      </c>
      <c r="M7" s="301"/>
      <c r="N7" s="301">
        <f>SUM(N8:N10)</f>
        <v>0</v>
      </c>
      <c r="O7" s="301"/>
      <c r="P7" s="301">
        <f>SUM(P8:P10)</f>
        <v>0</v>
      </c>
      <c r="Q7" s="301"/>
      <c r="R7" s="301">
        <f>SUM(R8:R10)</f>
        <v>0</v>
      </c>
      <c r="S7" s="298">
        <f>SUM(S8:S10)</f>
        <v>467570.41279999999</v>
      </c>
      <c r="T7" s="298"/>
      <c r="U7" s="298"/>
      <c r="V7" s="298"/>
      <c r="W7" s="298"/>
      <c r="X7" s="298"/>
      <c r="Y7" s="298"/>
      <c r="Z7" s="202"/>
      <c r="AA7" s="202"/>
      <c r="AB7" s="391">
        <f>S7-(R7+P7+N7+L7+J7+H7)</f>
        <v>0</v>
      </c>
    </row>
    <row r="8" spans="1:29" s="15" customFormat="1" ht="72" x14ac:dyDescent="0.3">
      <c r="A8" s="213" t="s">
        <v>162</v>
      </c>
      <c r="B8" s="213" t="s">
        <v>435</v>
      </c>
      <c r="C8" s="17"/>
      <c r="D8" s="437" t="s">
        <v>105</v>
      </c>
      <c r="E8" s="16">
        <v>1</v>
      </c>
      <c r="F8" s="18">
        <v>399616.44</v>
      </c>
      <c r="G8" s="19">
        <v>1</v>
      </c>
      <c r="H8" s="18">
        <f>+S8*G8</f>
        <v>399616.44</v>
      </c>
      <c r="I8" s="19"/>
      <c r="J8" s="18">
        <f>+S8*I8</f>
        <v>0</v>
      </c>
      <c r="K8" s="19"/>
      <c r="L8" s="18">
        <f>+S8*K8</f>
        <v>0</v>
      </c>
      <c r="M8" s="19"/>
      <c r="N8" s="18">
        <f>+S8*M8</f>
        <v>0</v>
      </c>
      <c r="O8" s="19"/>
      <c r="P8" s="18">
        <f>+S8*O8</f>
        <v>0</v>
      </c>
      <c r="Q8" s="19"/>
      <c r="R8" s="18">
        <f>+S8*Q8</f>
        <v>0</v>
      </c>
      <c r="S8" s="18">
        <f>+E8*F8</f>
        <v>399616.44</v>
      </c>
      <c r="T8" s="18" t="s">
        <v>108</v>
      </c>
      <c r="U8" s="438" t="s">
        <v>132</v>
      </c>
      <c r="V8" s="18"/>
      <c r="W8" s="18" t="s">
        <v>124</v>
      </c>
      <c r="X8" s="18" t="s">
        <v>124</v>
      </c>
      <c r="Y8" s="18" t="s">
        <v>124</v>
      </c>
      <c r="Z8" s="20">
        <v>1</v>
      </c>
      <c r="AA8" s="41">
        <v>21</v>
      </c>
      <c r="AB8" s="391">
        <f>S8-(R8+P8+N8+L8+J8+H8)</f>
        <v>0</v>
      </c>
    </row>
    <row r="9" spans="1:29" s="15" customFormat="1" ht="28.8" x14ac:dyDescent="0.3">
      <c r="A9" s="213" t="s">
        <v>163</v>
      </c>
      <c r="B9" s="213" t="s">
        <v>598</v>
      </c>
      <c r="C9" s="17"/>
      <c r="D9" s="636" t="s">
        <v>599</v>
      </c>
      <c r="E9" s="16">
        <v>1</v>
      </c>
      <c r="F9" s="18">
        <f>0.12*F8</f>
        <v>47953.972799999996</v>
      </c>
      <c r="G9" s="19">
        <v>1</v>
      </c>
      <c r="H9" s="18">
        <f>+S9*G9</f>
        <v>47953.972799999996</v>
      </c>
      <c r="I9" s="19"/>
      <c r="J9" s="18">
        <f>+S9*I9</f>
        <v>0</v>
      </c>
      <c r="K9" s="19"/>
      <c r="L9" s="18">
        <f>+S9*K9</f>
        <v>0</v>
      </c>
      <c r="M9" s="19"/>
      <c r="N9" s="18">
        <f>+S9*M9</f>
        <v>0</v>
      </c>
      <c r="O9" s="19"/>
      <c r="P9" s="18">
        <f>+S9*O9</f>
        <v>0</v>
      </c>
      <c r="Q9" s="19"/>
      <c r="R9" s="18">
        <f>+S9*Q9</f>
        <v>0</v>
      </c>
      <c r="S9" s="18">
        <f>+E9*F9</f>
        <v>47953.972799999996</v>
      </c>
      <c r="T9" s="18" t="s">
        <v>108</v>
      </c>
      <c r="U9" s="438"/>
      <c r="V9" s="18"/>
      <c r="W9" s="18"/>
      <c r="X9" s="18" t="s">
        <v>124</v>
      </c>
      <c r="Y9" s="18" t="s">
        <v>124</v>
      </c>
      <c r="Z9" s="20">
        <v>1</v>
      </c>
      <c r="AA9" s="41">
        <v>21</v>
      </c>
      <c r="AB9" s="391"/>
    </row>
    <row r="10" spans="1:29" s="15" customFormat="1" ht="27.6" customHeight="1" x14ac:dyDescent="0.3">
      <c r="A10" s="213" t="s">
        <v>597</v>
      </c>
      <c r="B10" s="213" t="s">
        <v>268</v>
      </c>
      <c r="C10" s="17"/>
      <c r="D10" s="21" t="s">
        <v>110</v>
      </c>
      <c r="E10" s="16">
        <v>2</v>
      </c>
      <c r="F10" s="40">
        <v>10000</v>
      </c>
      <c r="G10" s="19">
        <v>1</v>
      </c>
      <c r="H10" s="18">
        <f>+S10*G10</f>
        <v>20000</v>
      </c>
      <c r="I10" s="19"/>
      <c r="J10" s="18"/>
      <c r="K10" s="19"/>
      <c r="L10" s="18"/>
      <c r="M10" s="27"/>
      <c r="N10" s="18"/>
      <c r="O10" s="27"/>
      <c r="P10" s="18"/>
      <c r="Q10" s="27"/>
      <c r="R10" s="18"/>
      <c r="S10" s="18">
        <f>+E10*F10</f>
        <v>20000</v>
      </c>
      <c r="T10" s="18" t="s">
        <v>108</v>
      </c>
      <c r="U10" s="438" t="s">
        <v>136</v>
      </c>
      <c r="V10" s="18"/>
      <c r="W10" s="18" t="s">
        <v>124</v>
      </c>
      <c r="X10" s="18" t="s">
        <v>124</v>
      </c>
      <c r="Y10" s="18" t="s">
        <v>124</v>
      </c>
      <c r="Z10" s="20">
        <v>2</v>
      </c>
      <c r="AA10" s="41">
        <v>21</v>
      </c>
      <c r="AB10" s="391"/>
    </row>
    <row r="11" spans="1:29" s="307" customFormat="1" ht="28.8" x14ac:dyDescent="0.3">
      <c r="A11" s="303" t="s">
        <v>58</v>
      </c>
      <c r="B11" s="303" t="s">
        <v>156</v>
      </c>
      <c r="C11" s="201"/>
      <c r="D11" s="304"/>
      <c r="E11" s="305"/>
      <c r="F11" s="298"/>
      <c r="G11" s="302"/>
      <c r="H11" s="298">
        <f>SUM(H12:H12)</f>
        <v>40000</v>
      </c>
      <c r="I11" s="302"/>
      <c r="J11" s="298">
        <f>SUM(J12:J12)</f>
        <v>0</v>
      </c>
      <c r="K11" s="302"/>
      <c r="L11" s="298">
        <f>SUM(L12:L12)</f>
        <v>0</v>
      </c>
      <c r="M11" s="301"/>
      <c r="N11" s="298">
        <f>SUM(N12:N12)</f>
        <v>0</v>
      </c>
      <c r="O11" s="301"/>
      <c r="P11" s="298">
        <f>SUM(P12:P12)</f>
        <v>0</v>
      </c>
      <c r="Q11" s="301"/>
      <c r="R11" s="298">
        <f>SUM(R12:R12)</f>
        <v>0</v>
      </c>
      <c r="S11" s="298">
        <f>SUM(S12:S12)</f>
        <v>40000</v>
      </c>
      <c r="T11" s="306"/>
      <c r="U11" s="298"/>
      <c r="V11" s="298"/>
      <c r="W11" s="298"/>
      <c r="X11" s="298"/>
      <c r="Y11" s="298"/>
      <c r="Z11" s="203"/>
      <c r="AA11" s="203"/>
      <c r="AB11" s="391">
        <f>S11-(R11+P11+N11+L11+J11+H11)</f>
        <v>0</v>
      </c>
    </row>
    <row r="12" spans="1:29" s="441" customFormat="1" ht="65.400000000000006" customHeight="1" x14ac:dyDescent="0.25">
      <c r="A12" s="439" t="s">
        <v>546</v>
      </c>
      <c r="B12" s="439" t="s">
        <v>499</v>
      </c>
      <c r="C12" s="23"/>
      <c r="D12" s="21" t="s">
        <v>105</v>
      </c>
      <c r="E12" s="24">
        <v>1</v>
      </c>
      <c r="F12" s="25">
        <v>40000</v>
      </c>
      <c r="G12" s="19">
        <v>1</v>
      </c>
      <c r="H12" s="18">
        <f>+S12*G12</f>
        <v>40000</v>
      </c>
      <c r="I12" s="19"/>
      <c r="J12" s="18"/>
      <c r="K12" s="19"/>
      <c r="L12" s="18"/>
      <c r="M12" s="26"/>
      <c r="N12" s="18"/>
      <c r="O12" s="26"/>
      <c r="P12" s="18"/>
      <c r="Q12" s="26"/>
      <c r="R12" s="18"/>
      <c r="S12" s="18">
        <f>+E12*F12</f>
        <v>40000</v>
      </c>
      <c r="T12" s="18" t="s">
        <v>108</v>
      </c>
      <c r="U12" s="438" t="s">
        <v>132</v>
      </c>
      <c r="V12" s="324"/>
      <c r="W12" s="324" t="s">
        <v>114</v>
      </c>
      <c r="X12" s="324" t="s">
        <v>114</v>
      </c>
      <c r="Y12" s="22" t="s">
        <v>124</v>
      </c>
      <c r="Z12" s="20">
        <v>2</v>
      </c>
      <c r="AA12" s="20">
        <v>21</v>
      </c>
      <c r="AB12" s="440"/>
    </row>
    <row r="13" spans="1:29" s="307" customFormat="1" ht="28.8" x14ac:dyDescent="0.3">
      <c r="A13" s="303" t="s">
        <v>59</v>
      </c>
      <c r="B13" s="303" t="s">
        <v>157</v>
      </c>
      <c r="C13" s="309"/>
      <c r="D13" s="310"/>
      <c r="E13" s="311"/>
      <c r="F13" s="299"/>
      <c r="G13" s="312"/>
      <c r="H13" s="299">
        <f>SUM(H14:H15)</f>
        <v>20670</v>
      </c>
      <c r="I13" s="299"/>
      <c r="J13" s="299">
        <f>SUM(J14:J15)</f>
        <v>0</v>
      </c>
      <c r="K13" s="312"/>
      <c r="L13" s="299">
        <f>SUM(L14:L15)</f>
        <v>4500</v>
      </c>
      <c r="M13" s="312"/>
      <c r="N13" s="299">
        <f>SUM(N14:N15)</f>
        <v>0</v>
      </c>
      <c r="O13" s="299"/>
      <c r="P13" s="299">
        <f>SUM(P14:P15)</f>
        <v>0</v>
      </c>
      <c r="Q13" s="312"/>
      <c r="R13" s="299">
        <f>SUM(R14:R15)</f>
        <v>0</v>
      </c>
      <c r="S13" s="299">
        <f>SUM(S14:S15)</f>
        <v>25170</v>
      </c>
      <c r="T13" s="299"/>
      <c r="U13" s="313"/>
      <c r="V13" s="299"/>
      <c r="W13" s="299"/>
      <c r="X13" s="299"/>
      <c r="Y13" s="299"/>
      <c r="Z13" s="314"/>
      <c r="AA13" s="314"/>
      <c r="AB13" s="391">
        <f t="shared" ref="AB13:AB32" si="0">S13-(R13+P13+N13+L13+J13+H13)</f>
        <v>0</v>
      </c>
    </row>
    <row r="14" spans="1:29" s="64" customFormat="1" ht="30" customHeight="1" x14ac:dyDescent="0.25">
      <c r="A14" s="439" t="s">
        <v>164</v>
      </c>
      <c r="B14" s="439" t="s">
        <v>500</v>
      </c>
      <c r="C14" s="23"/>
      <c r="D14" s="21" t="s">
        <v>106</v>
      </c>
      <c r="E14" s="24">
        <v>1</v>
      </c>
      <c r="F14" s="25">
        <v>25000</v>
      </c>
      <c r="G14" s="19">
        <v>0.82</v>
      </c>
      <c r="H14" s="18">
        <f>+S14*G14</f>
        <v>20500</v>
      </c>
      <c r="I14" s="19"/>
      <c r="J14" s="18">
        <f>+S14*I14</f>
        <v>0</v>
      </c>
      <c r="K14" s="19">
        <v>0.18</v>
      </c>
      <c r="L14" s="18">
        <f>+S14*K14</f>
        <v>4500</v>
      </c>
      <c r="M14" s="26"/>
      <c r="N14" s="18">
        <f>+S14*M14</f>
        <v>0</v>
      </c>
      <c r="O14" s="26"/>
      <c r="P14" s="18">
        <f>+S14*O14</f>
        <v>0</v>
      </c>
      <c r="Q14" s="26"/>
      <c r="R14" s="18">
        <f>+S14*Q14</f>
        <v>0</v>
      </c>
      <c r="S14" s="18">
        <f>+E14*F14</f>
        <v>25000</v>
      </c>
      <c r="T14" s="18" t="s">
        <v>108</v>
      </c>
      <c r="U14" s="438" t="s">
        <v>132</v>
      </c>
      <c r="V14" s="324" t="s">
        <v>114</v>
      </c>
      <c r="W14" s="22" t="s">
        <v>124</v>
      </c>
      <c r="X14" s="22" t="s">
        <v>124</v>
      </c>
      <c r="Y14" s="22"/>
      <c r="Z14" s="20">
        <v>2</v>
      </c>
      <c r="AA14" s="20">
        <v>21</v>
      </c>
      <c r="AB14" s="440">
        <f t="shared" si="0"/>
        <v>0</v>
      </c>
      <c r="AC14" s="441"/>
    </row>
    <row r="15" spans="1:29" s="64" customFormat="1" ht="89.4" customHeight="1" x14ac:dyDescent="0.3">
      <c r="A15" s="439" t="s">
        <v>165</v>
      </c>
      <c r="B15" s="439" t="s">
        <v>553</v>
      </c>
      <c r="C15" s="23"/>
      <c r="D15" s="21" t="s">
        <v>400</v>
      </c>
      <c r="E15" s="24">
        <v>1</v>
      </c>
      <c r="F15" s="25">
        <f>'BORDEREAU DES PRIX UNITAIRES'!E7</f>
        <v>170</v>
      </c>
      <c r="G15" s="19">
        <v>1</v>
      </c>
      <c r="H15" s="18">
        <f>+S15*G15</f>
        <v>170</v>
      </c>
      <c r="I15" s="19"/>
      <c r="J15" s="18"/>
      <c r="K15" s="19">
        <v>0</v>
      </c>
      <c r="L15" s="18">
        <f>+S15*K15</f>
        <v>0</v>
      </c>
      <c r="M15" s="26"/>
      <c r="N15" s="18"/>
      <c r="O15" s="26"/>
      <c r="P15" s="18"/>
      <c r="Q15" s="26"/>
      <c r="R15" s="18"/>
      <c r="S15" s="18">
        <f>+E15*F15</f>
        <v>170</v>
      </c>
      <c r="T15" s="22" t="s">
        <v>108</v>
      </c>
      <c r="U15" s="438" t="s">
        <v>132</v>
      </c>
      <c r="V15" s="18"/>
      <c r="W15" s="18"/>
      <c r="X15" s="18" t="s">
        <v>124</v>
      </c>
      <c r="Y15" s="18"/>
      <c r="Z15" s="20">
        <v>4</v>
      </c>
      <c r="AA15" s="20">
        <v>61</v>
      </c>
      <c r="AB15" s="440">
        <f t="shared" si="0"/>
        <v>0</v>
      </c>
    </row>
    <row r="16" spans="1:29" s="175" customFormat="1" ht="13.35" customHeight="1" x14ac:dyDescent="0.3">
      <c r="A16" s="169" t="s">
        <v>60</v>
      </c>
      <c r="B16" s="169" t="s">
        <v>150</v>
      </c>
      <c r="C16" s="170"/>
      <c r="D16" s="171"/>
      <c r="E16" s="189"/>
      <c r="F16" s="173"/>
      <c r="G16" s="172"/>
      <c r="H16" s="173">
        <f>H17+H22</f>
        <v>0</v>
      </c>
      <c r="I16" s="173"/>
      <c r="J16" s="173">
        <f>J17+J22</f>
        <v>0</v>
      </c>
      <c r="K16" s="172"/>
      <c r="L16" s="173">
        <f>L17+L22</f>
        <v>75259.44</v>
      </c>
      <c r="M16" s="172"/>
      <c r="N16" s="173">
        <f>N17+N22</f>
        <v>4500</v>
      </c>
      <c r="O16" s="173"/>
      <c r="P16" s="173">
        <f>P17+P22</f>
        <v>342848.56</v>
      </c>
      <c r="Q16" s="172"/>
      <c r="R16" s="173">
        <f>R17+R22</f>
        <v>0</v>
      </c>
      <c r="S16" s="300">
        <f>S17+S22</f>
        <v>422608</v>
      </c>
      <c r="T16" s="173"/>
      <c r="U16" s="190"/>
      <c r="V16" s="173"/>
      <c r="W16" s="173"/>
      <c r="X16" s="173"/>
      <c r="Y16" s="173"/>
      <c r="Z16" s="174"/>
      <c r="AA16" s="174"/>
      <c r="AB16" s="391">
        <f t="shared" si="0"/>
        <v>0</v>
      </c>
    </row>
    <row r="17" spans="1:91" s="307" customFormat="1" ht="26.1" customHeight="1" x14ac:dyDescent="0.3">
      <c r="A17" s="303" t="s">
        <v>61</v>
      </c>
      <c r="B17" s="303" t="s">
        <v>158</v>
      </c>
      <c r="C17" s="201"/>
      <c r="D17" s="304"/>
      <c r="E17" s="305"/>
      <c r="F17" s="298"/>
      <c r="G17" s="302"/>
      <c r="H17" s="298">
        <f>SUM(H18:H21)</f>
        <v>0</v>
      </c>
      <c r="I17" s="298"/>
      <c r="J17" s="298">
        <f>SUM(J19:J21)</f>
        <v>0</v>
      </c>
      <c r="K17" s="302"/>
      <c r="L17" s="298">
        <f>SUM(L18:L21)</f>
        <v>63900.000000000007</v>
      </c>
      <c r="M17" s="302"/>
      <c r="N17" s="298">
        <f>SUM(N18:N21)</f>
        <v>4500</v>
      </c>
      <c r="O17" s="298"/>
      <c r="P17" s="298">
        <f>SUM(P18:P21)</f>
        <v>291100</v>
      </c>
      <c r="Q17" s="302"/>
      <c r="R17" s="298">
        <f>SUM(R18:R21)</f>
        <v>0</v>
      </c>
      <c r="S17" s="298">
        <f>SUM(S18:S21)</f>
        <v>359500</v>
      </c>
      <c r="T17" s="298"/>
      <c r="U17" s="323"/>
      <c r="V17" s="298"/>
      <c r="W17" s="298"/>
      <c r="X17" s="298"/>
      <c r="Y17" s="298"/>
      <c r="Z17" s="202"/>
      <c r="AA17" s="202"/>
      <c r="AB17" s="391">
        <f t="shared" si="0"/>
        <v>0</v>
      </c>
    </row>
    <row r="18" spans="1:91" s="64" customFormat="1" ht="63" customHeight="1" x14ac:dyDescent="0.3">
      <c r="A18" s="439" t="s">
        <v>166</v>
      </c>
      <c r="B18" s="439" t="s">
        <v>431</v>
      </c>
      <c r="C18" s="28"/>
      <c r="D18" s="17" t="s">
        <v>106</v>
      </c>
      <c r="E18" s="21">
        <v>1</v>
      </c>
      <c r="F18" s="443">
        <f>'BORDEREAU DES PRIX UNITAIRES'!F11</f>
        <v>4500</v>
      </c>
      <c r="G18" s="27"/>
      <c r="H18" s="18">
        <f>+S18*G18</f>
        <v>0</v>
      </c>
      <c r="I18" s="27"/>
      <c r="J18" s="18">
        <f>+S18*I18</f>
        <v>0</v>
      </c>
      <c r="K18" s="19"/>
      <c r="L18" s="18">
        <f>+S18*K18</f>
        <v>0</v>
      </c>
      <c r="M18" s="19">
        <v>1</v>
      </c>
      <c r="N18" s="18">
        <f>+S18*M18</f>
        <v>4500</v>
      </c>
      <c r="O18" s="19"/>
      <c r="P18" s="18">
        <f>+S18*O18</f>
        <v>0</v>
      </c>
      <c r="Q18" s="27"/>
      <c r="R18" s="18"/>
      <c r="S18" s="18">
        <f>+E18*F18</f>
        <v>4500</v>
      </c>
      <c r="T18" s="18" t="s">
        <v>121</v>
      </c>
      <c r="U18" s="438" t="s">
        <v>132</v>
      </c>
      <c r="V18" s="18"/>
      <c r="W18" s="325" t="s">
        <v>124</v>
      </c>
      <c r="X18" s="325" t="s">
        <v>124</v>
      </c>
      <c r="Y18" s="325" t="s">
        <v>124</v>
      </c>
      <c r="Z18" s="435">
        <v>2</v>
      </c>
      <c r="AA18" s="442">
        <v>21</v>
      </c>
      <c r="AB18" s="440">
        <f>S18-(R18+P18+N18+L18+J18+H18)</f>
        <v>0</v>
      </c>
    </row>
    <row r="19" spans="1:91" s="668" customFormat="1" ht="21" customHeight="1" x14ac:dyDescent="0.3">
      <c r="A19" s="626" t="s">
        <v>167</v>
      </c>
      <c r="B19" s="626" t="s">
        <v>262</v>
      </c>
      <c r="C19" s="660"/>
      <c r="D19" s="627" t="s">
        <v>1</v>
      </c>
      <c r="E19" s="661">
        <v>10</v>
      </c>
      <c r="F19" s="662">
        <f>'BORDEREAU DES PRIX UNITAIRES'!C27</f>
        <v>23500.000000000004</v>
      </c>
      <c r="G19" s="663"/>
      <c r="H19" s="662">
        <f>+S19*G19</f>
        <v>0</v>
      </c>
      <c r="I19" s="662"/>
      <c r="J19" s="662">
        <f>+S19*I19</f>
        <v>0</v>
      </c>
      <c r="K19" s="663">
        <v>0.18</v>
      </c>
      <c r="L19" s="662">
        <f>+S19*K19</f>
        <v>42300.000000000007</v>
      </c>
      <c r="M19" s="663"/>
      <c r="N19" s="662">
        <f>+S19*M19</f>
        <v>0</v>
      </c>
      <c r="O19" s="663">
        <v>0.82</v>
      </c>
      <c r="P19" s="662">
        <f>+S19*O19</f>
        <v>192700</v>
      </c>
      <c r="Q19" s="663"/>
      <c r="R19" s="662">
        <f>+S19*Q19</f>
        <v>0</v>
      </c>
      <c r="S19" s="662">
        <f>+E19*F19</f>
        <v>235000.00000000003</v>
      </c>
      <c r="T19" s="662" t="s">
        <v>133</v>
      </c>
      <c r="U19" s="664" t="s">
        <v>132</v>
      </c>
      <c r="V19" s="662"/>
      <c r="W19" s="665"/>
      <c r="X19" s="665" t="s">
        <v>124</v>
      </c>
      <c r="Y19" s="665" t="s">
        <v>124</v>
      </c>
      <c r="Z19" s="666">
        <v>1</v>
      </c>
      <c r="AA19" s="666">
        <v>23</v>
      </c>
      <c r="AB19" s="667">
        <f t="shared" si="0"/>
        <v>0</v>
      </c>
    </row>
    <row r="20" spans="1:91" s="668" customFormat="1" ht="32.4" customHeight="1" x14ac:dyDescent="0.3">
      <c r="A20" s="626" t="s">
        <v>168</v>
      </c>
      <c r="B20" s="626" t="s">
        <v>263</v>
      </c>
      <c r="C20" s="669"/>
      <c r="D20" s="627" t="s">
        <v>1</v>
      </c>
      <c r="E20" s="627">
        <v>6</v>
      </c>
      <c r="F20" s="662">
        <f>'BORDEREAU DES PRIX UNITAIRES'!C43</f>
        <v>11000</v>
      </c>
      <c r="G20" s="670"/>
      <c r="H20" s="662">
        <f>+S20*G20</f>
        <v>0</v>
      </c>
      <c r="I20" s="670"/>
      <c r="J20" s="662">
        <f>+S20*I20</f>
        <v>0</v>
      </c>
      <c r="K20" s="663">
        <v>0.18</v>
      </c>
      <c r="L20" s="662">
        <f>+S20*K20</f>
        <v>11880</v>
      </c>
      <c r="M20" s="670"/>
      <c r="N20" s="662">
        <f>+S20*M20</f>
        <v>0</v>
      </c>
      <c r="O20" s="663">
        <v>0.82</v>
      </c>
      <c r="P20" s="662">
        <f>+S20*O20</f>
        <v>54120</v>
      </c>
      <c r="Q20" s="670"/>
      <c r="R20" s="662">
        <f>+S20*Q20</f>
        <v>0</v>
      </c>
      <c r="S20" s="662">
        <f>+E20*F20</f>
        <v>66000</v>
      </c>
      <c r="T20" s="662" t="s">
        <v>133</v>
      </c>
      <c r="U20" s="664" t="s">
        <v>132</v>
      </c>
      <c r="V20" s="662"/>
      <c r="W20" s="665"/>
      <c r="X20" s="665" t="s">
        <v>124</v>
      </c>
      <c r="Y20" s="665" t="s">
        <v>124</v>
      </c>
      <c r="Z20" s="671">
        <v>1</v>
      </c>
      <c r="AA20" s="666">
        <v>23</v>
      </c>
      <c r="AB20" s="667">
        <f t="shared" si="0"/>
        <v>0</v>
      </c>
    </row>
    <row r="21" spans="1:91" s="668" customFormat="1" ht="19.8" customHeight="1" x14ac:dyDescent="0.3">
      <c r="A21" s="626" t="s">
        <v>421</v>
      </c>
      <c r="B21" s="626" t="s">
        <v>430</v>
      </c>
      <c r="C21" s="669"/>
      <c r="D21" s="627" t="s">
        <v>102</v>
      </c>
      <c r="E21" s="627">
        <v>6</v>
      </c>
      <c r="F21" s="662">
        <f>'BORDEREAU DES PRIX UNITAIRES'!E57</f>
        <v>9000</v>
      </c>
      <c r="G21" s="670"/>
      <c r="H21" s="662">
        <f>+S21*G21</f>
        <v>0</v>
      </c>
      <c r="I21" s="670"/>
      <c r="J21" s="662">
        <f>+S21*I21</f>
        <v>0</v>
      </c>
      <c r="K21" s="663">
        <v>0.18</v>
      </c>
      <c r="L21" s="662">
        <f>+S21*K21</f>
        <v>9720</v>
      </c>
      <c r="M21" s="670"/>
      <c r="N21" s="662">
        <f>+S21*M21</f>
        <v>0</v>
      </c>
      <c r="O21" s="663">
        <v>0.82</v>
      </c>
      <c r="P21" s="662">
        <f>+S21*O21</f>
        <v>44280</v>
      </c>
      <c r="Q21" s="670"/>
      <c r="R21" s="662">
        <f>+S21*Q21</f>
        <v>0</v>
      </c>
      <c r="S21" s="662">
        <f>+E21*F21</f>
        <v>54000</v>
      </c>
      <c r="T21" s="662" t="s">
        <v>133</v>
      </c>
      <c r="U21" s="664" t="s">
        <v>132</v>
      </c>
      <c r="V21" s="662"/>
      <c r="W21" s="665"/>
      <c r="X21" s="665" t="s">
        <v>124</v>
      </c>
      <c r="Y21" s="665" t="s">
        <v>124</v>
      </c>
      <c r="Z21" s="671">
        <v>1</v>
      </c>
      <c r="AA21" s="666">
        <v>23</v>
      </c>
      <c r="AB21" s="667">
        <f t="shared" si="0"/>
        <v>0</v>
      </c>
    </row>
    <row r="22" spans="1:91" s="307" customFormat="1" ht="28.8" x14ac:dyDescent="0.3">
      <c r="A22" s="303" t="s">
        <v>62</v>
      </c>
      <c r="B22" s="303" t="s">
        <v>159</v>
      </c>
      <c r="C22" s="201"/>
      <c r="D22" s="304"/>
      <c r="E22" s="305"/>
      <c r="F22" s="298"/>
      <c r="G22" s="302"/>
      <c r="H22" s="298">
        <f>SUM(H23:H25)</f>
        <v>0</v>
      </c>
      <c r="I22" s="298">
        <f>SUM(I24:I25)</f>
        <v>0</v>
      </c>
      <c r="J22" s="298">
        <f>SUM(J23:J25)</f>
        <v>0</v>
      </c>
      <c r="K22" s="302"/>
      <c r="L22" s="298">
        <f>SUM(L23:L25)</f>
        <v>11359.439999999999</v>
      </c>
      <c r="M22" s="302"/>
      <c r="N22" s="298">
        <f>SUM(N23:N25)</f>
        <v>0</v>
      </c>
      <c r="O22" s="298"/>
      <c r="P22" s="298">
        <f>SUM(P23:P25)</f>
        <v>51748.56</v>
      </c>
      <c r="Q22" s="302"/>
      <c r="R22" s="298">
        <f>SUM(R23:R25)</f>
        <v>0</v>
      </c>
      <c r="S22" s="298">
        <f>SUM(S23:S25)</f>
        <v>63108</v>
      </c>
      <c r="T22" s="298"/>
      <c r="U22" s="323"/>
      <c r="V22" s="298"/>
      <c r="W22" s="298"/>
      <c r="X22" s="298"/>
      <c r="Y22" s="298"/>
      <c r="Z22" s="203"/>
      <c r="AA22" s="203"/>
      <c r="AB22" s="391">
        <f t="shared" si="0"/>
        <v>0</v>
      </c>
    </row>
    <row r="23" spans="1:91" s="668" customFormat="1" ht="57.6" x14ac:dyDescent="0.3">
      <c r="A23" s="626" t="s">
        <v>169</v>
      </c>
      <c r="B23" s="672" t="s">
        <v>627</v>
      </c>
      <c r="C23" s="669"/>
      <c r="D23" s="627" t="s">
        <v>103</v>
      </c>
      <c r="E23" s="627">
        <v>120</v>
      </c>
      <c r="F23" s="662">
        <v>1753</v>
      </c>
      <c r="G23" s="670"/>
      <c r="H23" s="662">
        <f>+S23*G23</f>
        <v>0</v>
      </c>
      <c r="I23" s="670"/>
      <c r="J23" s="662">
        <f>+S23*I23</f>
        <v>0</v>
      </c>
      <c r="K23" s="663">
        <v>0.18</v>
      </c>
      <c r="L23" s="662">
        <f>+S23*K23</f>
        <v>11359.439999999999</v>
      </c>
      <c r="M23" s="670"/>
      <c r="N23" s="662">
        <f>+S23*M23</f>
        <v>0</v>
      </c>
      <c r="O23" s="663">
        <v>0.82</v>
      </c>
      <c r="P23" s="662">
        <f>+S23*O23</f>
        <v>51748.56</v>
      </c>
      <c r="Q23" s="670"/>
      <c r="R23" s="662">
        <f>+S23*Q23</f>
        <v>0</v>
      </c>
      <c r="S23" s="662">
        <f>+E23*F23*0.3</f>
        <v>63108</v>
      </c>
      <c r="T23" s="662" t="s">
        <v>133</v>
      </c>
      <c r="U23" s="664" t="s">
        <v>132</v>
      </c>
      <c r="V23" s="665"/>
      <c r="W23" s="665"/>
      <c r="X23" s="665" t="s">
        <v>124</v>
      </c>
      <c r="Y23" s="665" t="s">
        <v>124</v>
      </c>
      <c r="Z23" s="671">
        <v>2</v>
      </c>
      <c r="AA23" s="666">
        <v>22</v>
      </c>
      <c r="AB23" s="667">
        <f t="shared" si="0"/>
        <v>0</v>
      </c>
    </row>
    <row r="24" spans="1:91" s="64" customFormat="1" ht="39.6" hidden="1" customHeight="1" x14ac:dyDescent="0.3">
      <c r="A24" s="439" t="s">
        <v>170</v>
      </c>
      <c r="B24" s="439" t="s">
        <v>177</v>
      </c>
      <c r="C24" s="17"/>
      <c r="D24" s="21" t="s">
        <v>102</v>
      </c>
      <c r="E24" s="16">
        <v>0</v>
      </c>
      <c r="F24" s="18">
        <v>1100</v>
      </c>
      <c r="G24" s="19"/>
      <c r="H24" s="18">
        <f>+S24*G24</f>
        <v>0</v>
      </c>
      <c r="I24" s="18"/>
      <c r="J24" s="18">
        <f>+S24*I24</f>
        <v>0</v>
      </c>
      <c r="K24" s="19">
        <v>0.23</v>
      </c>
      <c r="L24" s="18">
        <f>+S24*K24</f>
        <v>0</v>
      </c>
      <c r="M24" s="19"/>
      <c r="N24" s="18">
        <f>+S24*M24</f>
        <v>0</v>
      </c>
      <c r="O24" s="19">
        <v>0.77</v>
      </c>
      <c r="P24" s="18">
        <f>+S24*O24</f>
        <v>0</v>
      </c>
      <c r="Q24" s="19"/>
      <c r="R24" s="18">
        <f>+S24*Q24</f>
        <v>0</v>
      </c>
      <c r="S24" s="18">
        <f>+E24*F24</f>
        <v>0</v>
      </c>
      <c r="T24" s="18" t="s">
        <v>133</v>
      </c>
      <c r="U24" s="438" t="s">
        <v>132</v>
      </c>
      <c r="V24" s="325"/>
      <c r="W24" s="325"/>
      <c r="X24" s="325" t="s">
        <v>114</v>
      </c>
      <c r="Y24" s="325" t="s">
        <v>114</v>
      </c>
      <c r="Z24" s="20">
        <v>1</v>
      </c>
      <c r="AA24" s="20">
        <v>24</v>
      </c>
      <c r="AB24" s="440">
        <f t="shared" si="0"/>
        <v>0</v>
      </c>
    </row>
    <row r="25" spans="1:91" s="64" customFormat="1" ht="39.6" hidden="1" x14ac:dyDescent="0.3">
      <c r="A25" s="439" t="s">
        <v>171</v>
      </c>
      <c r="B25" s="439" t="s">
        <v>175</v>
      </c>
      <c r="C25" s="28"/>
      <c r="D25" s="21" t="s">
        <v>103</v>
      </c>
      <c r="E25" s="21">
        <v>0</v>
      </c>
      <c r="F25" s="18">
        <v>17000</v>
      </c>
      <c r="G25" s="27"/>
      <c r="H25" s="18">
        <f>+S25*G25</f>
        <v>0</v>
      </c>
      <c r="I25" s="27"/>
      <c r="J25" s="18">
        <f>+S25*I25</f>
        <v>0</v>
      </c>
      <c r="K25" s="19">
        <v>0.18</v>
      </c>
      <c r="L25" s="18">
        <f>+S25*K25</f>
        <v>0</v>
      </c>
      <c r="M25" s="27"/>
      <c r="N25" s="18">
        <f>+S25*M25</f>
        <v>0</v>
      </c>
      <c r="O25" s="19">
        <v>0.82</v>
      </c>
      <c r="P25" s="18">
        <f>+S25*O25</f>
        <v>0</v>
      </c>
      <c r="Q25" s="27"/>
      <c r="R25" s="18">
        <f>+S25*Q25</f>
        <v>0</v>
      </c>
      <c r="S25" s="18">
        <f>+E25*F25</f>
        <v>0</v>
      </c>
      <c r="T25" s="18" t="s">
        <v>133</v>
      </c>
      <c r="U25" s="438" t="s">
        <v>132</v>
      </c>
      <c r="V25" s="325"/>
      <c r="W25" s="325"/>
      <c r="X25" s="325" t="s">
        <v>114</v>
      </c>
      <c r="Y25" s="325" t="s">
        <v>114</v>
      </c>
      <c r="Z25" s="435">
        <v>1</v>
      </c>
      <c r="AA25" s="442">
        <v>22</v>
      </c>
      <c r="AB25" s="440">
        <f t="shared" si="0"/>
        <v>0</v>
      </c>
    </row>
    <row r="26" spans="1:91" s="322" customFormat="1" ht="14.4" x14ac:dyDescent="0.3">
      <c r="A26" s="169"/>
      <c r="B26" s="169" t="s">
        <v>439</v>
      </c>
      <c r="C26" s="315"/>
      <c r="D26" s="316"/>
      <c r="E26" s="317"/>
      <c r="F26" s="318"/>
      <c r="G26" s="319"/>
      <c r="H26" s="319">
        <f>H27+H30</f>
        <v>34062</v>
      </c>
      <c r="I26" s="319"/>
      <c r="J26" s="319">
        <f>J27+J30</f>
        <v>0</v>
      </c>
      <c r="K26" s="320"/>
      <c r="L26" s="319">
        <f>L27+L30</f>
        <v>5428</v>
      </c>
      <c r="M26" s="319"/>
      <c r="N26" s="300">
        <f>N27+N30</f>
        <v>0</v>
      </c>
      <c r="O26" s="319"/>
      <c r="P26" s="319">
        <f>P27+P30</f>
        <v>0</v>
      </c>
      <c r="Q26" s="319"/>
      <c r="R26" s="319">
        <f>R27+R30</f>
        <v>0</v>
      </c>
      <c r="S26" s="300">
        <f>S27+S30</f>
        <v>39490</v>
      </c>
      <c r="T26" s="300"/>
      <c r="U26" s="300"/>
      <c r="V26" s="300"/>
      <c r="W26" s="300"/>
      <c r="X26" s="300"/>
      <c r="Y26" s="300"/>
      <c r="Z26" s="321"/>
      <c r="AA26" s="321"/>
      <c r="AB26" s="391">
        <f t="shared" si="0"/>
        <v>0</v>
      </c>
    </row>
    <row r="27" spans="1:91" s="307" customFormat="1" ht="28.8" x14ac:dyDescent="0.3">
      <c r="A27" s="303" t="s">
        <v>63</v>
      </c>
      <c r="B27" s="303" t="s">
        <v>160</v>
      </c>
      <c r="C27" s="201"/>
      <c r="D27" s="304"/>
      <c r="E27" s="305"/>
      <c r="F27" s="298"/>
      <c r="G27" s="302"/>
      <c r="H27" s="298">
        <f>SUM(H28:H29)</f>
        <v>18172</v>
      </c>
      <c r="I27" s="298"/>
      <c r="J27" s="298">
        <f>SUM(J28:J29)</f>
        <v>0</v>
      </c>
      <c r="K27" s="302"/>
      <c r="L27" s="298">
        <f>SUM(L28:L29)</f>
        <v>5428</v>
      </c>
      <c r="M27" s="302"/>
      <c r="N27" s="298">
        <f>SUM(N28:N29)</f>
        <v>0</v>
      </c>
      <c r="O27" s="298"/>
      <c r="P27" s="298">
        <f>SUM(P28:P29)</f>
        <v>0</v>
      </c>
      <c r="Q27" s="302"/>
      <c r="R27" s="298">
        <f>SUM(R28:R29)</f>
        <v>0</v>
      </c>
      <c r="S27" s="298">
        <f>SUM(S28:S29)</f>
        <v>23600</v>
      </c>
      <c r="T27" s="298"/>
      <c r="U27" s="323"/>
      <c r="V27" s="298"/>
      <c r="W27" s="298"/>
      <c r="X27" s="298"/>
      <c r="Y27" s="298"/>
      <c r="Z27" s="203"/>
      <c r="AA27" s="203"/>
      <c r="AB27" s="391">
        <f t="shared" si="0"/>
        <v>0</v>
      </c>
    </row>
    <row r="28" spans="1:91" s="15" customFormat="1" ht="28.8" customHeight="1" x14ac:dyDescent="0.3">
      <c r="A28" s="213" t="s">
        <v>172</v>
      </c>
      <c r="B28" s="213" t="s">
        <v>494</v>
      </c>
      <c r="C28" s="17"/>
      <c r="D28" s="38" t="s">
        <v>109</v>
      </c>
      <c r="E28" s="55">
        <v>1</v>
      </c>
      <c r="F28" s="285">
        <f>18000000/1000</f>
        <v>18000</v>
      </c>
      <c r="G28" s="39">
        <v>0.77</v>
      </c>
      <c r="H28" s="285">
        <f>S28*G28</f>
        <v>13860</v>
      </c>
      <c r="I28" s="285"/>
      <c r="J28" s="40">
        <f>+S28*I28</f>
        <v>0</v>
      </c>
      <c r="K28" s="39">
        <v>0.23</v>
      </c>
      <c r="L28" s="285">
        <f>S28*K28</f>
        <v>4140</v>
      </c>
      <c r="M28" s="39"/>
      <c r="N28" s="285">
        <f>S28*M28</f>
        <v>0</v>
      </c>
      <c r="O28" s="285"/>
      <c r="P28" s="285">
        <f>+S28*O28</f>
        <v>0</v>
      </c>
      <c r="Q28" s="39"/>
      <c r="R28" s="285">
        <f>+S28*Q28</f>
        <v>0</v>
      </c>
      <c r="S28" s="40">
        <f>+E28*F28</f>
        <v>18000</v>
      </c>
      <c r="T28" s="40" t="s">
        <v>123</v>
      </c>
      <c r="U28" s="42" t="s">
        <v>131</v>
      </c>
      <c r="V28" s="327" t="s">
        <v>124</v>
      </c>
      <c r="W28" s="327" t="s">
        <v>114</v>
      </c>
      <c r="X28" s="326" t="s">
        <v>124</v>
      </c>
      <c r="Y28" s="326" t="s">
        <v>124</v>
      </c>
      <c r="Z28" s="41">
        <v>1</v>
      </c>
      <c r="AA28" s="41">
        <v>24</v>
      </c>
      <c r="AB28" s="391">
        <f t="shared" si="0"/>
        <v>0</v>
      </c>
    </row>
    <row r="29" spans="1:91" s="15" customFormat="1" ht="28.8" x14ac:dyDescent="0.3">
      <c r="A29" s="213" t="s">
        <v>173</v>
      </c>
      <c r="B29" s="213" t="s">
        <v>176</v>
      </c>
      <c r="C29" s="28"/>
      <c r="D29" s="21" t="s">
        <v>109</v>
      </c>
      <c r="E29" s="16">
        <v>7</v>
      </c>
      <c r="F29" s="18">
        <v>800</v>
      </c>
      <c r="G29" s="39">
        <v>0.77</v>
      </c>
      <c r="H29" s="18">
        <f>+S29*G29</f>
        <v>4312</v>
      </c>
      <c r="I29" s="18"/>
      <c r="J29" s="18">
        <f>+S29*I29</f>
        <v>0</v>
      </c>
      <c r="K29" s="39">
        <v>0.23</v>
      </c>
      <c r="L29" s="18">
        <f>+S29*K29</f>
        <v>1288</v>
      </c>
      <c r="M29" s="19"/>
      <c r="N29" s="18">
        <f>+S29*M29</f>
        <v>0</v>
      </c>
      <c r="O29" s="18"/>
      <c r="P29" s="18">
        <f>+S29*O29</f>
        <v>0</v>
      </c>
      <c r="Q29" s="19"/>
      <c r="R29" s="18">
        <f>+S29*Q29</f>
        <v>0</v>
      </c>
      <c r="S29" s="40">
        <f>+E29*F29</f>
        <v>5600</v>
      </c>
      <c r="T29" s="40" t="s">
        <v>123</v>
      </c>
      <c r="U29" s="42" t="s">
        <v>134</v>
      </c>
      <c r="V29" s="325"/>
      <c r="W29" s="325"/>
      <c r="X29" s="325" t="s">
        <v>114</v>
      </c>
      <c r="Y29" s="325" t="s">
        <v>114</v>
      </c>
      <c r="Z29" s="450">
        <v>1</v>
      </c>
      <c r="AA29" s="20">
        <v>24</v>
      </c>
      <c r="AB29" s="391">
        <f t="shared" si="0"/>
        <v>0</v>
      </c>
    </row>
    <row r="30" spans="1:91" s="307" customFormat="1" ht="14.4" x14ac:dyDescent="0.3">
      <c r="A30" s="303" t="s">
        <v>64</v>
      </c>
      <c r="B30" s="303" t="s">
        <v>161</v>
      </c>
      <c r="C30" s="201"/>
      <c r="D30" s="304"/>
      <c r="E30" s="305"/>
      <c r="F30" s="298"/>
      <c r="G30" s="302"/>
      <c r="H30" s="298">
        <f>SUM(H31:H31)</f>
        <v>15890</v>
      </c>
      <c r="I30" s="298"/>
      <c r="J30" s="298">
        <f>SUM(J31:J31)</f>
        <v>0</v>
      </c>
      <c r="K30" s="302"/>
      <c r="L30" s="298">
        <f>SUM(L31:L31)</f>
        <v>0</v>
      </c>
      <c r="M30" s="302"/>
      <c r="N30" s="298">
        <f>SUM(N31:N31)</f>
        <v>0</v>
      </c>
      <c r="O30" s="298"/>
      <c r="P30" s="298">
        <f>SUM(P31:P31)</f>
        <v>0</v>
      </c>
      <c r="Q30" s="302"/>
      <c r="R30" s="298">
        <f>SUM(R31:R31)</f>
        <v>0</v>
      </c>
      <c r="S30" s="298">
        <f>SUM(S31:S31)</f>
        <v>15890</v>
      </c>
      <c r="T30" s="298"/>
      <c r="U30" s="323"/>
      <c r="V30" s="298"/>
      <c r="W30" s="298"/>
      <c r="X30" s="298"/>
      <c r="Y30" s="298"/>
      <c r="Z30" s="203"/>
      <c r="AA30" s="203"/>
      <c r="AB30" s="391">
        <f t="shared" si="0"/>
        <v>0</v>
      </c>
    </row>
    <row r="31" spans="1:91" s="15" customFormat="1" ht="39.6" x14ac:dyDescent="0.3">
      <c r="A31" s="213" t="s">
        <v>174</v>
      </c>
      <c r="B31" s="213" t="s">
        <v>628</v>
      </c>
      <c r="C31" s="589"/>
      <c r="D31" s="38" t="s">
        <v>130</v>
      </c>
      <c r="E31" s="55">
        <v>12</v>
      </c>
      <c r="F31" s="615">
        <f>'BORDEREAU DES PRIX UNITAIRES'!E65</f>
        <v>1324.1666666666667</v>
      </c>
      <c r="G31" s="39">
        <v>1</v>
      </c>
      <c r="H31" s="40">
        <f>+S31*G31</f>
        <v>15890</v>
      </c>
      <c r="I31" s="39"/>
      <c r="J31" s="40"/>
      <c r="K31" s="39"/>
      <c r="L31" s="40"/>
      <c r="M31" s="590"/>
      <c r="N31" s="40"/>
      <c r="O31" s="590"/>
      <c r="P31" s="40"/>
      <c r="Q31" s="590"/>
      <c r="R31" s="40"/>
      <c r="S31" s="40">
        <f>+E31*F31</f>
        <v>15890</v>
      </c>
      <c r="T31" s="286" t="s">
        <v>108</v>
      </c>
      <c r="U31" s="438" t="s">
        <v>132</v>
      </c>
      <c r="V31" s="326" t="s">
        <v>114</v>
      </c>
      <c r="W31" s="326" t="s">
        <v>114</v>
      </c>
      <c r="X31" s="326" t="s">
        <v>114</v>
      </c>
      <c r="Y31" s="326" t="s">
        <v>114</v>
      </c>
      <c r="Z31" s="41">
        <v>5</v>
      </c>
      <c r="AA31" s="41">
        <v>61</v>
      </c>
      <c r="AB31" s="391">
        <f t="shared" si="0"/>
        <v>0</v>
      </c>
    </row>
    <row r="32" spans="1:91" ht="15" thickBot="1" x14ac:dyDescent="0.3">
      <c r="A32" s="176"/>
      <c r="B32" s="177" t="s">
        <v>23</v>
      </c>
      <c r="C32" s="178"/>
      <c r="D32" s="179"/>
      <c r="E32" s="180"/>
      <c r="F32" s="181"/>
      <c r="G32" s="182"/>
      <c r="H32" s="183">
        <f t="shared" ref="H32:S32" si="1">+H6+H16+H26</f>
        <v>562302.41280000005</v>
      </c>
      <c r="I32" s="183">
        <f t="shared" si="1"/>
        <v>0</v>
      </c>
      <c r="J32" s="183">
        <f t="shared" si="1"/>
        <v>0</v>
      </c>
      <c r="K32" s="183">
        <f t="shared" si="1"/>
        <v>0</v>
      </c>
      <c r="L32" s="183">
        <f t="shared" si="1"/>
        <v>85187.44</v>
      </c>
      <c r="M32" s="183">
        <f t="shared" si="1"/>
        <v>0</v>
      </c>
      <c r="N32" s="183">
        <f t="shared" si="1"/>
        <v>4500</v>
      </c>
      <c r="O32" s="183">
        <f t="shared" si="1"/>
        <v>0</v>
      </c>
      <c r="P32" s="183">
        <f t="shared" si="1"/>
        <v>342848.56</v>
      </c>
      <c r="Q32" s="183">
        <f t="shared" si="1"/>
        <v>0</v>
      </c>
      <c r="R32" s="183">
        <f t="shared" si="1"/>
        <v>0</v>
      </c>
      <c r="S32" s="183">
        <f t="shared" si="1"/>
        <v>994838.41280000005</v>
      </c>
      <c r="T32" s="184"/>
      <c r="U32" s="185"/>
      <c r="V32" s="186"/>
      <c r="W32" s="184"/>
      <c r="X32" s="184"/>
      <c r="Y32" s="187"/>
      <c r="Z32" s="188"/>
      <c r="AA32" s="466"/>
      <c r="AB32" s="391">
        <f t="shared" si="0"/>
        <v>0</v>
      </c>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row>
    <row r="33" spans="1:2" ht="14.4" x14ac:dyDescent="0.3">
      <c r="A33" s="137"/>
      <c r="B33" s="161"/>
    </row>
  </sheetData>
  <mergeCells count="9">
    <mergeCell ref="A3:A4"/>
    <mergeCell ref="B3:B4"/>
    <mergeCell ref="Z3:Z4"/>
    <mergeCell ref="B1:Y1"/>
    <mergeCell ref="G3:S3"/>
    <mergeCell ref="T3:T4"/>
    <mergeCell ref="U3:U4"/>
    <mergeCell ref="V3:Y3"/>
    <mergeCell ref="C3:F3"/>
  </mergeCells>
  <pageMargins left="0.39370078740157499" right="0.23622047244094499" top="0.74803149606299202" bottom="0.74803149606299202" header="0.31496062992126" footer="0.31496062992126"/>
  <pageSetup paperSize="9" scale="40" fitToWidth="0" orientation="landscape" r:id="rId1"/>
  <headerFooter>
    <oddFooter>&amp;C&amp;P/&amp;N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K262"/>
  <sheetViews>
    <sheetView tabSelected="1" zoomScale="90" zoomScaleNormal="90" workbookViewId="0">
      <pane xSplit="3" ySplit="5" topLeftCell="D10" activePane="bottomRight" state="frozen"/>
      <selection pane="topRight" activeCell="D1" sqref="D1"/>
      <selection pane="bottomLeft" activeCell="A6" sqref="A6"/>
      <selection pane="bottomRight" activeCell="F11" sqref="F11"/>
    </sheetView>
  </sheetViews>
  <sheetFormatPr baseColWidth="10" defaultColWidth="11.44140625" defaultRowHeight="14.4" x14ac:dyDescent="0.3"/>
  <cols>
    <col min="1" max="1" width="11.44140625" style="103" customWidth="1"/>
    <col min="2" max="2" width="61.88671875" style="149" customWidth="1"/>
    <col min="3" max="3" width="12.5546875" style="149" hidden="1" customWidth="1"/>
    <col min="4" max="4" width="12.5546875" style="150" customWidth="1"/>
    <col min="5" max="5" width="12.5546875" style="151" customWidth="1"/>
    <col min="6" max="6" width="15" style="152" customWidth="1"/>
    <col min="7" max="7" width="7.44140625" style="153" customWidth="1"/>
    <col min="8" max="8" width="17" style="154" customWidth="1"/>
    <col min="9" max="9" width="8.44140625" style="154" customWidth="1"/>
    <col min="10" max="10" width="13" style="155" customWidth="1"/>
    <col min="11" max="11" width="6.109375" style="155" customWidth="1"/>
    <col min="12" max="12" width="16.44140625" style="155" customWidth="1"/>
    <col min="13" max="13" width="7.44140625" style="155" customWidth="1"/>
    <col min="14" max="14" width="15.88671875" style="155" customWidth="1"/>
    <col min="15" max="15" width="6.5546875" style="155" customWidth="1"/>
    <col min="16" max="16" width="19" style="155" customWidth="1"/>
    <col min="17" max="17" width="6.5546875" style="155" customWidth="1"/>
    <col min="18" max="18" width="16.109375" style="155" customWidth="1"/>
    <col min="19" max="19" width="21.109375" style="154" customWidth="1"/>
    <col min="20" max="20" width="12.5546875" style="126" customWidth="1"/>
    <col min="21" max="21" width="21" style="125" customWidth="1"/>
    <col min="22" max="22" width="4.44140625" style="126" customWidth="1"/>
    <col min="23" max="23" width="4.44140625" style="111" customWidth="1"/>
    <col min="24" max="25" width="4.44140625" style="126" customWidth="1"/>
    <col min="26" max="26" width="14.5546875" style="156" customWidth="1"/>
    <col min="27" max="27" width="8.5546875" style="103" customWidth="1"/>
    <col min="28" max="28" width="26.44140625" style="102" customWidth="1"/>
    <col min="29" max="29" width="16.44140625" style="102" customWidth="1"/>
    <col min="30" max="16384" width="11.44140625" style="102"/>
  </cols>
  <sheetData>
    <row r="1" spans="1:37" ht="20.399999999999999" customHeight="1" x14ac:dyDescent="0.3">
      <c r="B1" s="732" t="s">
        <v>101</v>
      </c>
      <c r="C1" s="732"/>
      <c r="D1" s="732"/>
      <c r="E1" s="732"/>
      <c r="F1" s="732"/>
      <c r="G1" s="732"/>
      <c r="H1" s="732"/>
      <c r="I1" s="732"/>
      <c r="J1" s="732"/>
      <c r="K1" s="732"/>
      <c r="L1" s="732"/>
      <c r="M1" s="732"/>
      <c r="N1" s="732"/>
      <c r="O1" s="732"/>
      <c r="P1" s="732"/>
      <c r="Q1" s="732"/>
      <c r="R1" s="732"/>
      <c r="S1" s="732"/>
      <c r="T1" s="732"/>
      <c r="U1" s="732"/>
      <c r="V1" s="732"/>
      <c r="W1" s="732"/>
      <c r="X1" s="732"/>
      <c r="Y1" s="732"/>
      <c r="Z1" s="104"/>
    </row>
    <row r="2" spans="1:37" ht="8.4" customHeight="1" x14ac:dyDescent="0.3">
      <c r="B2" s="104"/>
      <c r="C2" s="104"/>
      <c r="D2" s="104"/>
      <c r="E2" s="105"/>
      <c r="F2" s="106"/>
      <c r="G2" s="104"/>
      <c r="H2" s="104"/>
      <c r="I2" s="104"/>
      <c r="J2" s="104"/>
      <c r="K2" s="104"/>
      <c r="L2" s="104"/>
      <c r="M2" s="104"/>
      <c r="N2" s="104"/>
      <c r="O2" s="104"/>
      <c r="P2" s="104"/>
      <c r="Q2" s="104"/>
      <c r="R2" s="104"/>
      <c r="S2" s="104"/>
      <c r="T2" s="104"/>
      <c r="U2" s="104"/>
      <c r="V2" s="104"/>
      <c r="W2" s="104"/>
      <c r="X2" s="104"/>
      <c r="Y2" s="104"/>
      <c r="Z2" s="104"/>
    </row>
    <row r="3" spans="1:37" s="124" customFormat="1" ht="18.600000000000001" customHeight="1" x14ac:dyDescent="0.3">
      <c r="A3" s="730" t="s">
        <v>0</v>
      </c>
      <c r="B3" s="720" t="s">
        <v>65</v>
      </c>
      <c r="C3" s="735" t="s">
        <v>52</v>
      </c>
      <c r="D3" s="736"/>
      <c r="E3" s="736"/>
      <c r="F3" s="737"/>
      <c r="G3" s="733" t="s">
        <v>4</v>
      </c>
      <c r="H3" s="733"/>
      <c r="I3" s="733"/>
      <c r="J3" s="733"/>
      <c r="K3" s="733"/>
      <c r="L3" s="733"/>
      <c r="M3" s="733"/>
      <c r="N3" s="733"/>
      <c r="O3" s="733"/>
      <c r="P3" s="733"/>
      <c r="Q3" s="733"/>
      <c r="R3" s="733"/>
      <c r="S3" s="733"/>
      <c r="T3" s="734" t="s">
        <v>5</v>
      </c>
      <c r="U3" s="734" t="s">
        <v>242</v>
      </c>
      <c r="V3" s="734" t="s">
        <v>7</v>
      </c>
      <c r="W3" s="730"/>
      <c r="X3" s="730"/>
      <c r="Y3" s="730"/>
      <c r="Z3" s="731" t="s">
        <v>8</v>
      </c>
      <c r="AA3" s="725" t="s">
        <v>9</v>
      </c>
      <c r="AB3" s="204"/>
      <c r="AC3" s="204"/>
      <c r="AD3" s="204"/>
      <c r="AE3" s="204"/>
      <c r="AF3" s="204"/>
      <c r="AG3" s="204"/>
      <c r="AH3" s="204"/>
      <c r="AI3" s="204"/>
      <c r="AJ3" s="204"/>
      <c r="AK3" s="204"/>
    </row>
    <row r="4" spans="1:37" s="124" customFormat="1" ht="38.4" customHeight="1" x14ac:dyDescent="0.3">
      <c r="A4" s="730"/>
      <c r="B4" s="720"/>
      <c r="C4" s="205" t="s">
        <v>53</v>
      </c>
      <c r="D4" s="206" t="s">
        <v>1</v>
      </c>
      <c r="E4" s="207" t="s">
        <v>2</v>
      </c>
      <c r="F4" s="208" t="s">
        <v>3</v>
      </c>
      <c r="G4" s="209" t="s">
        <v>10</v>
      </c>
      <c r="H4" s="210" t="s">
        <v>11</v>
      </c>
      <c r="I4" s="210" t="s">
        <v>10</v>
      </c>
      <c r="J4" s="210" t="s">
        <v>12</v>
      </c>
      <c r="K4" s="210" t="s">
        <v>10</v>
      </c>
      <c r="L4" s="210" t="s">
        <v>13</v>
      </c>
      <c r="M4" s="210" t="s">
        <v>10</v>
      </c>
      <c r="N4" s="210" t="s">
        <v>14</v>
      </c>
      <c r="O4" s="210" t="s">
        <v>10</v>
      </c>
      <c r="P4" s="210" t="s">
        <v>15</v>
      </c>
      <c r="Q4" s="210" t="s">
        <v>10</v>
      </c>
      <c r="R4" s="210" t="s">
        <v>16</v>
      </c>
      <c r="S4" s="211" t="s">
        <v>17</v>
      </c>
      <c r="T4" s="730"/>
      <c r="U4" s="730"/>
      <c r="V4" s="127" t="s">
        <v>18</v>
      </c>
      <c r="W4" s="127" t="s">
        <v>19</v>
      </c>
      <c r="X4" s="127" t="s">
        <v>20</v>
      </c>
      <c r="Y4" s="127" t="s">
        <v>21</v>
      </c>
      <c r="Z4" s="731"/>
      <c r="AA4" s="725"/>
      <c r="AB4" s="204"/>
      <c r="AC4" s="204"/>
      <c r="AD4" s="204"/>
      <c r="AE4" s="204"/>
      <c r="AF4" s="204"/>
      <c r="AG4" s="204"/>
      <c r="AH4" s="204"/>
      <c r="AI4" s="204"/>
      <c r="AJ4" s="204"/>
      <c r="AK4" s="204"/>
    </row>
    <row r="5" spans="1:37" s="237" customFormat="1" ht="28.8" x14ac:dyDescent="0.3">
      <c r="A5" s="168" t="s">
        <v>66</v>
      </c>
      <c r="B5" s="168" t="s">
        <v>99</v>
      </c>
      <c r="C5" s="231"/>
      <c r="D5" s="232"/>
      <c r="E5" s="232"/>
      <c r="F5" s="233"/>
      <c r="G5" s="234"/>
      <c r="H5" s="235"/>
      <c r="I5" s="235"/>
      <c r="J5" s="235"/>
      <c r="K5" s="234"/>
      <c r="L5" s="235"/>
      <c r="M5" s="234"/>
      <c r="N5" s="235"/>
      <c r="O5" s="235"/>
      <c r="P5" s="235"/>
      <c r="Q5" s="235"/>
      <c r="R5" s="235"/>
      <c r="S5" s="361"/>
      <c r="T5" s="236"/>
      <c r="U5" s="236"/>
      <c r="V5" s="236"/>
      <c r="W5" s="236"/>
      <c r="X5" s="236"/>
      <c r="Y5" s="236"/>
      <c r="Z5" s="232"/>
      <c r="AA5" s="232"/>
    </row>
    <row r="6" spans="1:37" s="383" customFormat="1" ht="24.6" customHeight="1" x14ac:dyDescent="0.3">
      <c r="A6" s="169" t="s">
        <v>67</v>
      </c>
      <c r="B6" s="169" t="s">
        <v>151</v>
      </c>
      <c r="C6" s="521"/>
      <c r="D6" s="379"/>
      <c r="E6" s="379"/>
      <c r="F6" s="522"/>
      <c r="G6" s="523"/>
      <c r="H6" s="524">
        <f>+H7+H9+H22</f>
        <v>12000</v>
      </c>
      <c r="I6" s="524">
        <f>+I7+I9+I22</f>
        <v>0</v>
      </c>
      <c r="J6" s="524">
        <f>+J7+J9+J22</f>
        <v>0</v>
      </c>
      <c r="K6" s="523"/>
      <c r="L6" s="524">
        <f>+L7+L9+L22</f>
        <v>278108.13</v>
      </c>
      <c r="M6" s="523"/>
      <c r="N6" s="524">
        <f>+N7+N9+N22</f>
        <v>47600</v>
      </c>
      <c r="O6" s="524"/>
      <c r="P6" s="524">
        <f>+P7+P9+P22</f>
        <v>1187706.8699999999</v>
      </c>
      <c r="Q6" s="524"/>
      <c r="R6" s="524">
        <f>+R7+R9+R22</f>
        <v>63943.5</v>
      </c>
      <c r="S6" s="525">
        <f>+S7+S9+S22</f>
        <v>1589358.5</v>
      </c>
      <c r="T6" s="524"/>
      <c r="U6" s="524"/>
      <c r="V6" s="521"/>
      <c r="W6" s="521"/>
      <c r="X6" s="521"/>
      <c r="Y6" s="521"/>
      <c r="Z6" s="526"/>
      <c r="AA6" s="526"/>
      <c r="AB6" s="527">
        <f t="shared" ref="AB6:AB35" si="0">S6-(P6+N6+L6+J6+H6+R6)</f>
        <v>0</v>
      </c>
    </row>
    <row r="7" spans="1:37" s="245" customFormat="1" ht="29.4" customHeight="1" x14ac:dyDescent="0.3">
      <c r="A7" s="200" t="s">
        <v>68</v>
      </c>
      <c r="B7" s="434" t="s">
        <v>178</v>
      </c>
      <c r="C7" s="238"/>
      <c r="D7" s="239"/>
      <c r="E7" s="239"/>
      <c r="F7" s="240"/>
      <c r="G7" s="241"/>
      <c r="H7" s="243">
        <f>SUM(H8:H8)</f>
        <v>0</v>
      </c>
      <c r="I7" s="241"/>
      <c r="J7" s="243">
        <f>SUM(J8:J8)</f>
        <v>0</v>
      </c>
      <c r="K7" s="242"/>
      <c r="L7" s="243">
        <f>SUM(L8:L8)</f>
        <v>8742.06</v>
      </c>
      <c r="M7" s="241"/>
      <c r="N7" s="243">
        <f>SUM(N8:N8)</f>
        <v>0</v>
      </c>
      <c r="O7" s="241"/>
      <c r="P7" s="243">
        <f>SUM(P8:P8)</f>
        <v>39824.939999999995</v>
      </c>
      <c r="Q7" s="241"/>
      <c r="R7" s="243">
        <f>SUM(R8:R8)</f>
        <v>0</v>
      </c>
      <c r="S7" s="243">
        <f>SUM(S8:S8)</f>
        <v>48567</v>
      </c>
      <c r="T7" s="243"/>
      <c r="U7" s="243"/>
      <c r="V7" s="243"/>
      <c r="W7" s="243"/>
      <c r="X7" s="243"/>
      <c r="Y7" s="243"/>
      <c r="Z7" s="244"/>
      <c r="AA7" s="244"/>
      <c r="AB7" s="390">
        <f t="shared" si="0"/>
        <v>0</v>
      </c>
    </row>
    <row r="8" spans="1:37" s="679" customFormat="1" ht="40.35" customHeight="1" x14ac:dyDescent="0.3">
      <c r="A8" s="626" t="s">
        <v>189</v>
      </c>
      <c r="B8" s="626" t="s">
        <v>554</v>
      </c>
      <c r="C8" s="673"/>
      <c r="D8" s="674" t="s">
        <v>104</v>
      </c>
      <c r="E8" s="674">
        <v>20</v>
      </c>
      <c r="F8" s="675">
        <f>'BORDEREAU DES PRIX UNITAIRES'!F73</f>
        <v>2428.35</v>
      </c>
      <c r="G8" s="676"/>
      <c r="H8" s="676"/>
      <c r="I8" s="676"/>
      <c r="J8" s="676"/>
      <c r="K8" s="643">
        <v>0.18</v>
      </c>
      <c r="L8" s="630">
        <f>S8*K8</f>
        <v>8742.06</v>
      </c>
      <c r="M8" s="676"/>
      <c r="N8" s="676"/>
      <c r="O8" s="629">
        <v>0.82</v>
      </c>
      <c r="P8" s="630">
        <f t="shared" ref="P8:P19" si="1">+S8*O8</f>
        <v>39824.939999999995</v>
      </c>
      <c r="Q8" s="676"/>
      <c r="R8" s="631">
        <f>+S8*Q8</f>
        <v>0</v>
      </c>
      <c r="S8" s="631">
        <f>+E8*F8</f>
        <v>48567</v>
      </c>
      <c r="T8" s="642" t="s">
        <v>133</v>
      </c>
      <c r="U8" s="677" t="s">
        <v>148</v>
      </c>
      <c r="V8" s="631"/>
      <c r="W8" s="631" t="s">
        <v>124</v>
      </c>
      <c r="X8" s="631" t="s">
        <v>124</v>
      </c>
      <c r="Y8" s="631"/>
      <c r="Z8" s="678">
        <v>2</v>
      </c>
      <c r="AA8" s="678">
        <v>21</v>
      </c>
      <c r="AB8" s="633">
        <f t="shared" si="0"/>
        <v>0</v>
      </c>
    </row>
    <row r="9" spans="1:37" s="254" customFormat="1" x14ac:dyDescent="0.3">
      <c r="A9" s="200" t="s">
        <v>69</v>
      </c>
      <c r="B9" s="303" t="s">
        <v>179</v>
      </c>
      <c r="C9" s="246"/>
      <c r="D9" s="239"/>
      <c r="E9" s="247"/>
      <c r="F9" s="248"/>
      <c r="G9" s="249"/>
      <c r="H9" s="362">
        <f>SUM(H10:H21)</f>
        <v>12000</v>
      </c>
      <c r="I9" s="249"/>
      <c r="J9" s="362">
        <f>SUM(J10:J21)</f>
        <v>0</v>
      </c>
      <c r="K9" s="249"/>
      <c r="L9" s="362">
        <f>SUM(L10:L21)</f>
        <v>269366.07</v>
      </c>
      <c r="M9" s="249"/>
      <c r="N9" s="362">
        <f>SUM(N10:N21)</f>
        <v>47600</v>
      </c>
      <c r="O9" s="249"/>
      <c r="P9" s="362">
        <f>SUM(P10:P21)</f>
        <v>1135401.93</v>
      </c>
      <c r="Q9" s="249"/>
      <c r="R9" s="362">
        <f>SUM(R10:R21)</f>
        <v>63943.5</v>
      </c>
      <c r="S9" s="362">
        <f>SUM(S10:S21)</f>
        <v>1528311.5</v>
      </c>
      <c r="T9" s="251"/>
      <c r="U9" s="252"/>
      <c r="V9" s="251"/>
      <c r="W9" s="251"/>
      <c r="X9" s="251"/>
      <c r="Y9" s="243"/>
      <c r="Z9" s="253"/>
      <c r="AA9" s="253"/>
      <c r="AB9" s="390">
        <f>S9-(P9+N9+L9+J9+H9+R9)</f>
        <v>0</v>
      </c>
    </row>
    <row r="10" spans="1:37" s="679" customFormat="1" ht="62.4" customHeight="1" x14ac:dyDescent="0.3">
      <c r="A10" s="626" t="s">
        <v>190</v>
      </c>
      <c r="B10" s="680" t="s">
        <v>436</v>
      </c>
      <c r="C10" s="628"/>
      <c r="D10" s="674" t="s">
        <v>264</v>
      </c>
      <c r="E10" s="681">
        <v>425</v>
      </c>
      <c r="F10" s="682">
        <f>'BORDEREAU DES PRIX UNITAIRES'!C82</f>
        <v>300.52000000000004</v>
      </c>
      <c r="G10" s="629"/>
      <c r="H10" s="630"/>
      <c r="I10" s="629"/>
      <c r="J10" s="631"/>
      <c r="K10" s="629">
        <v>0.18</v>
      </c>
      <c r="L10" s="630">
        <f>S10*K10</f>
        <v>22989.780000000002</v>
      </c>
      <c r="M10" s="629"/>
      <c r="N10" s="631">
        <f>+S10*M10</f>
        <v>0</v>
      </c>
      <c r="O10" s="629">
        <v>0.82</v>
      </c>
      <c r="P10" s="630">
        <f t="shared" si="1"/>
        <v>104731.22</v>
      </c>
      <c r="Q10" s="629"/>
      <c r="R10" s="631"/>
      <c r="S10" s="631">
        <f>+E10*F10</f>
        <v>127721.00000000001</v>
      </c>
      <c r="T10" s="632" t="s">
        <v>133</v>
      </c>
      <c r="U10" s="683" t="s">
        <v>319</v>
      </c>
      <c r="V10" s="632" t="s">
        <v>124</v>
      </c>
      <c r="W10" s="632" t="s">
        <v>124</v>
      </c>
      <c r="X10" s="632"/>
      <c r="Y10" s="631"/>
      <c r="Z10" s="678">
        <v>1</v>
      </c>
      <c r="AA10" s="678">
        <v>22</v>
      </c>
      <c r="AB10" s="633">
        <f t="shared" si="0"/>
        <v>0</v>
      </c>
    </row>
    <row r="11" spans="1:37" s="679" customFormat="1" ht="39.6" customHeight="1" x14ac:dyDescent="0.3">
      <c r="A11" s="626" t="s">
        <v>276</v>
      </c>
      <c r="B11" s="684" t="s">
        <v>621</v>
      </c>
      <c r="C11" s="628"/>
      <c r="D11" s="674" t="s">
        <v>264</v>
      </c>
      <c r="E11" s="681">
        <v>877</v>
      </c>
      <c r="F11" s="682">
        <v>105</v>
      </c>
      <c r="G11" s="629"/>
      <c r="H11" s="630"/>
      <c r="I11" s="629"/>
      <c r="J11" s="631"/>
      <c r="K11" s="629">
        <v>0.18</v>
      </c>
      <c r="L11" s="630">
        <f>S11*K11</f>
        <v>4972.59</v>
      </c>
      <c r="M11" s="629"/>
      <c r="N11" s="631">
        <f t="shared" ref="N11:N20" si="2">+S11*M11</f>
        <v>0</v>
      </c>
      <c r="O11" s="629">
        <v>0.82</v>
      </c>
      <c r="P11" s="630">
        <f t="shared" si="1"/>
        <v>22652.91</v>
      </c>
      <c r="Q11" s="629"/>
      <c r="R11" s="631"/>
      <c r="S11" s="631">
        <f t="shared" ref="S11:S17" si="3">+E11*F11*0.3</f>
        <v>27625.5</v>
      </c>
      <c r="T11" s="632" t="s">
        <v>133</v>
      </c>
      <c r="U11" s="683" t="s">
        <v>319</v>
      </c>
      <c r="V11" s="632"/>
      <c r="W11" s="632" t="s">
        <v>124</v>
      </c>
      <c r="X11" s="632"/>
      <c r="Y11" s="631"/>
      <c r="Z11" s="678">
        <v>1</v>
      </c>
      <c r="AA11" s="678">
        <v>22</v>
      </c>
      <c r="AB11" s="633">
        <f t="shared" si="0"/>
        <v>0</v>
      </c>
    </row>
    <row r="12" spans="1:37" s="679" customFormat="1" ht="43.2" x14ac:dyDescent="0.3">
      <c r="A12" s="626" t="s">
        <v>277</v>
      </c>
      <c r="B12" s="684" t="s">
        <v>622</v>
      </c>
      <c r="C12" s="628"/>
      <c r="D12" s="674" t="s">
        <v>264</v>
      </c>
      <c r="E12" s="681">
        <v>550</v>
      </c>
      <c r="F12" s="682">
        <v>210.5</v>
      </c>
      <c r="G12" s="629"/>
      <c r="H12" s="630"/>
      <c r="I12" s="629"/>
      <c r="J12" s="631"/>
      <c r="K12" s="629">
        <v>0.18</v>
      </c>
      <c r="L12" s="630">
        <f>S12*K12</f>
        <v>6251.8499999999995</v>
      </c>
      <c r="M12" s="629"/>
      <c r="N12" s="631">
        <f t="shared" si="2"/>
        <v>0</v>
      </c>
      <c r="O12" s="629">
        <v>0.82</v>
      </c>
      <c r="P12" s="630">
        <f t="shared" si="1"/>
        <v>28480.649999999998</v>
      </c>
      <c r="Q12" s="629"/>
      <c r="R12" s="631"/>
      <c r="S12" s="631">
        <f t="shared" si="3"/>
        <v>34732.5</v>
      </c>
      <c r="T12" s="710" t="s">
        <v>243</v>
      </c>
      <c r="U12" s="683" t="s">
        <v>320</v>
      </c>
      <c r="V12" s="632"/>
      <c r="W12" s="632" t="s">
        <v>124</v>
      </c>
      <c r="X12" s="632" t="s">
        <v>124</v>
      </c>
      <c r="Y12" s="631"/>
      <c r="Z12" s="678">
        <v>1</v>
      </c>
      <c r="AA12" s="678">
        <v>22</v>
      </c>
      <c r="AB12" s="633">
        <f t="shared" si="0"/>
        <v>0</v>
      </c>
    </row>
    <row r="13" spans="1:37" s="679" customFormat="1" ht="43.2" x14ac:dyDescent="0.3">
      <c r="A13" s="626" t="s">
        <v>278</v>
      </c>
      <c r="B13" s="684" t="s">
        <v>620</v>
      </c>
      <c r="C13" s="628"/>
      <c r="D13" s="674" t="s">
        <v>264</v>
      </c>
      <c r="E13" s="681">
        <v>550</v>
      </c>
      <c r="F13" s="682">
        <v>210.5</v>
      </c>
      <c r="G13" s="629"/>
      <c r="H13" s="630"/>
      <c r="I13" s="629"/>
      <c r="J13" s="631"/>
      <c r="K13" s="629">
        <v>0.18</v>
      </c>
      <c r="L13" s="630">
        <f>S13*K13</f>
        <v>6251.8499999999995</v>
      </c>
      <c r="M13" s="629"/>
      <c r="N13" s="631">
        <f>+S13*M13</f>
        <v>0</v>
      </c>
      <c r="O13" s="629">
        <v>0.82</v>
      </c>
      <c r="P13" s="630">
        <f>+S13*O13</f>
        <v>28480.649999999998</v>
      </c>
      <c r="Q13" s="629"/>
      <c r="R13" s="631"/>
      <c r="S13" s="631">
        <f t="shared" si="3"/>
        <v>34732.5</v>
      </c>
      <c r="T13" s="710" t="s">
        <v>243</v>
      </c>
      <c r="U13" s="683" t="s">
        <v>320</v>
      </c>
      <c r="V13" s="632"/>
      <c r="W13" s="632" t="s">
        <v>124</v>
      </c>
      <c r="X13" s="632" t="s">
        <v>124</v>
      </c>
      <c r="Y13" s="631"/>
      <c r="Z13" s="678">
        <v>1</v>
      </c>
      <c r="AA13" s="678">
        <v>22</v>
      </c>
      <c r="AB13" s="633">
        <f>S13-(P13+N13+L13+J13+H13+R13)</f>
        <v>0</v>
      </c>
    </row>
    <row r="14" spans="1:37" s="679" customFormat="1" ht="28.2" customHeight="1" x14ac:dyDescent="0.3">
      <c r="A14" s="626" t="s">
        <v>279</v>
      </c>
      <c r="B14" s="680" t="s">
        <v>623</v>
      </c>
      <c r="C14" s="628"/>
      <c r="D14" s="674" t="s">
        <v>264</v>
      </c>
      <c r="E14" s="685">
        <v>200</v>
      </c>
      <c r="F14" s="682">
        <v>1750</v>
      </c>
      <c r="G14" s="629"/>
      <c r="H14" s="630"/>
      <c r="I14" s="629"/>
      <c r="J14" s="631"/>
      <c r="K14" s="629">
        <v>0.18</v>
      </c>
      <c r="L14" s="630">
        <f t="shared" ref="L14:L20" si="4">S14*K14</f>
        <v>18900</v>
      </c>
      <c r="M14" s="629"/>
      <c r="N14" s="631">
        <f t="shared" si="2"/>
        <v>0</v>
      </c>
      <c r="O14" s="629">
        <v>0.77</v>
      </c>
      <c r="P14" s="630">
        <f t="shared" si="1"/>
        <v>80850</v>
      </c>
      <c r="Q14" s="629">
        <v>0.05</v>
      </c>
      <c r="R14" s="631">
        <f t="shared" ref="R14:R20" si="5">+S14*Q14</f>
        <v>5250</v>
      </c>
      <c r="S14" s="631">
        <f t="shared" si="3"/>
        <v>105000</v>
      </c>
      <c r="T14" s="632" t="s">
        <v>133</v>
      </c>
      <c r="U14" s="683" t="s">
        <v>321</v>
      </c>
      <c r="V14" s="632"/>
      <c r="W14" s="632"/>
      <c r="X14" s="632"/>
      <c r="Y14" s="631" t="s">
        <v>124</v>
      </c>
      <c r="Z14" s="678">
        <v>1</v>
      </c>
      <c r="AA14" s="678">
        <v>22</v>
      </c>
      <c r="AB14" s="633">
        <f t="shared" si="0"/>
        <v>0</v>
      </c>
    </row>
    <row r="15" spans="1:37" s="679" customFormat="1" ht="44.4" customHeight="1" x14ac:dyDescent="0.3">
      <c r="A15" s="626" t="s">
        <v>280</v>
      </c>
      <c r="B15" s="680" t="s">
        <v>624</v>
      </c>
      <c r="C15" s="628"/>
      <c r="D15" s="674" t="s">
        <v>264</v>
      </c>
      <c r="E15" s="685">
        <v>200</v>
      </c>
      <c r="F15" s="682">
        <v>3506</v>
      </c>
      <c r="G15" s="629"/>
      <c r="H15" s="630"/>
      <c r="I15" s="629"/>
      <c r="J15" s="631"/>
      <c r="K15" s="629">
        <v>0.18</v>
      </c>
      <c r="L15" s="630">
        <f>S15*K15</f>
        <v>37864.799999999996</v>
      </c>
      <c r="M15" s="629"/>
      <c r="N15" s="631">
        <f>+S15*M15</f>
        <v>0</v>
      </c>
      <c r="O15" s="629">
        <v>0.77</v>
      </c>
      <c r="P15" s="630">
        <f>+S15*O15</f>
        <v>161977.20000000001</v>
      </c>
      <c r="Q15" s="629">
        <v>0.05</v>
      </c>
      <c r="R15" s="631">
        <f t="shared" si="5"/>
        <v>10518</v>
      </c>
      <c r="S15" s="631">
        <f t="shared" si="3"/>
        <v>210360</v>
      </c>
      <c r="T15" s="632" t="s">
        <v>133</v>
      </c>
      <c r="U15" s="683" t="s">
        <v>321</v>
      </c>
      <c r="V15" s="632"/>
      <c r="W15" s="632"/>
      <c r="X15" s="632"/>
      <c r="Y15" s="631" t="s">
        <v>124</v>
      </c>
      <c r="Z15" s="678">
        <v>1</v>
      </c>
      <c r="AA15" s="678">
        <v>22</v>
      </c>
      <c r="AB15" s="633">
        <f>S15-(P15+N15+L15+J15+H15+R15)</f>
        <v>0</v>
      </c>
    </row>
    <row r="16" spans="1:37" s="699" customFormat="1" ht="33" customHeight="1" x14ac:dyDescent="0.3">
      <c r="A16" s="686" t="s">
        <v>281</v>
      </c>
      <c r="B16" s="687" t="s">
        <v>625</v>
      </c>
      <c r="C16" s="688"/>
      <c r="D16" s="689" t="s">
        <v>264</v>
      </c>
      <c r="E16" s="689">
        <v>200</v>
      </c>
      <c r="F16" s="690">
        <v>70</v>
      </c>
      <c r="G16" s="691"/>
      <c r="H16" s="690">
        <f>+S16*G16</f>
        <v>0</v>
      </c>
      <c r="I16" s="691"/>
      <c r="J16" s="690">
        <f>+S16*I16</f>
        <v>0</v>
      </c>
      <c r="K16" s="692">
        <v>0.18</v>
      </c>
      <c r="L16" s="690">
        <f>+S16*K16</f>
        <v>756</v>
      </c>
      <c r="M16" s="691"/>
      <c r="N16" s="690">
        <f>+S16*M16</f>
        <v>0</v>
      </c>
      <c r="O16" s="692">
        <v>0.82</v>
      </c>
      <c r="P16" s="690">
        <f>+S16*O16</f>
        <v>3444</v>
      </c>
      <c r="Q16" s="691"/>
      <c r="R16" s="690">
        <f>+S16*Q16</f>
        <v>0</v>
      </c>
      <c r="S16" s="690">
        <f t="shared" si="3"/>
        <v>4200</v>
      </c>
      <c r="T16" s="693" t="s">
        <v>133</v>
      </c>
      <c r="U16" s="694" t="s">
        <v>132</v>
      </c>
      <c r="V16" s="695"/>
      <c r="W16" s="695"/>
      <c r="X16" s="695" t="s">
        <v>124</v>
      </c>
      <c r="Y16" s="695" t="s">
        <v>124</v>
      </c>
      <c r="Z16" s="696">
        <v>2</v>
      </c>
      <c r="AA16" s="697">
        <v>22</v>
      </c>
      <c r="AB16" s="698">
        <f>S16-(R16+P16+N16+L16+J16+H16)</f>
        <v>0</v>
      </c>
    </row>
    <row r="17" spans="1:28" s="699" customFormat="1" ht="33" customHeight="1" x14ac:dyDescent="0.3">
      <c r="A17" s="686" t="s">
        <v>282</v>
      </c>
      <c r="B17" s="687" t="s">
        <v>626</v>
      </c>
      <c r="C17" s="688"/>
      <c r="D17" s="689" t="s">
        <v>264</v>
      </c>
      <c r="E17" s="689">
        <v>200</v>
      </c>
      <c r="F17" s="690">
        <v>140.5</v>
      </c>
      <c r="G17" s="691"/>
      <c r="H17" s="690">
        <f>+S17*G17</f>
        <v>0</v>
      </c>
      <c r="I17" s="691"/>
      <c r="J17" s="690">
        <f>+S17*I17</f>
        <v>0</v>
      </c>
      <c r="K17" s="692">
        <v>0.18</v>
      </c>
      <c r="L17" s="690">
        <f>+S17*K17</f>
        <v>1517.3999999999999</v>
      </c>
      <c r="M17" s="691"/>
      <c r="N17" s="690">
        <f>+S17*M17</f>
        <v>0</v>
      </c>
      <c r="O17" s="692">
        <v>0.82</v>
      </c>
      <c r="P17" s="690">
        <f>+S17*O17</f>
        <v>6912.5999999999995</v>
      </c>
      <c r="Q17" s="691"/>
      <c r="R17" s="690">
        <f>+S17*Q17</f>
        <v>0</v>
      </c>
      <c r="S17" s="690">
        <f t="shared" si="3"/>
        <v>8430</v>
      </c>
      <c r="T17" s="693" t="s">
        <v>133</v>
      </c>
      <c r="U17" s="694" t="s">
        <v>132</v>
      </c>
      <c r="V17" s="695"/>
      <c r="W17" s="695"/>
      <c r="X17" s="695" t="s">
        <v>124</v>
      </c>
      <c r="Y17" s="695" t="s">
        <v>124</v>
      </c>
      <c r="Z17" s="696">
        <v>2</v>
      </c>
      <c r="AA17" s="697">
        <v>22</v>
      </c>
      <c r="AB17" s="698">
        <f>S17-(R17+P17+N17+L17+J17+H17)</f>
        <v>0</v>
      </c>
    </row>
    <row r="18" spans="1:28" s="679" customFormat="1" ht="31.2" customHeight="1" x14ac:dyDescent="0.3">
      <c r="A18" s="626" t="s">
        <v>283</v>
      </c>
      <c r="B18" s="680" t="s">
        <v>490</v>
      </c>
      <c r="C18" s="628"/>
      <c r="D18" s="674" t="s">
        <v>110</v>
      </c>
      <c r="E18" s="681">
        <v>603</v>
      </c>
      <c r="F18" s="682">
        <f>'BORDEREAU DES PRIX UNITAIRES'!C91</f>
        <v>70</v>
      </c>
      <c r="G18" s="629"/>
      <c r="H18" s="630"/>
      <c r="I18" s="629"/>
      <c r="J18" s="631"/>
      <c r="K18" s="629">
        <v>0.18</v>
      </c>
      <c r="L18" s="630">
        <f t="shared" si="4"/>
        <v>7597.7999999999993</v>
      </c>
      <c r="M18" s="629"/>
      <c r="N18" s="631">
        <f t="shared" si="2"/>
        <v>0</v>
      </c>
      <c r="O18" s="629">
        <v>0.77</v>
      </c>
      <c r="P18" s="630">
        <f t="shared" si="1"/>
        <v>32501.7</v>
      </c>
      <c r="Q18" s="629">
        <v>0.05</v>
      </c>
      <c r="R18" s="631">
        <f t="shared" si="5"/>
        <v>2110.5</v>
      </c>
      <c r="S18" s="631">
        <f>+E18*F18</f>
        <v>42210</v>
      </c>
      <c r="T18" s="632" t="s">
        <v>133</v>
      </c>
      <c r="U18" s="683" t="s">
        <v>321</v>
      </c>
      <c r="V18" s="632"/>
      <c r="W18" s="632" t="s">
        <v>124</v>
      </c>
      <c r="X18" s="632" t="s">
        <v>124</v>
      </c>
      <c r="Y18" s="631"/>
      <c r="Z18" s="678">
        <v>1</v>
      </c>
      <c r="AA18" s="678">
        <v>22</v>
      </c>
      <c r="AB18" s="633">
        <f t="shared" si="0"/>
        <v>0</v>
      </c>
    </row>
    <row r="19" spans="1:28" s="647" customFormat="1" ht="58.8" customHeight="1" x14ac:dyDescent="0.3">
      <c r="A19" s="626" t="s">
        <v>555</v>
      </c>
      <c r="B19" s="628" t="s">
        <v>493</v>
      </c>
      <c r="C19" s="700"/>
      <c r="D19" s="674" t="s">
        <v>491</v>
      </c>
      <c r="E19" s="641">
        <v>1808</v>
      </c>
      <c r="F19" s="701">
        <f>'BORDEREAU DES PRIX UNITAIRES'!E99</f>
        <v>443.75</v>
      </c>
      <c r="G19" s="629"/>
      <c r="H19" s="630">
        <f>S19*G19</f>
        <v>0</v>
      </c>
      <c r="I19" s="629"/>
      <c r="J19" s="631">
        <f>+S19*I19</f>
        <v>0</v>
      </c>
      <c r="K19" s="629">
        <v>0.18</v>
      </c>
      <c r="L19" s="630">
        <f t="shared" si="4"/>
        <v>144414</v>
      </c>
      <c r="M19" s="629">
        <v>0</v>
      </c>
      <c r="N19" s="631">
        <f t="shared" si="2"/>
        <v>0</v>
      </c>
      <c r="O19" s="629">
        <v>0.77</v>
      </c>
      <c r="P19" s="630">
        <f t="shared" si="1"/>
        <v>617771</v>
      </c>
      <c r="Q19" s="629">
        <v>0.05</v>
      </c>
      <c r="R19" s="631">
        <f t="shared" si="5"/>
        <v>40115</v>
      </c>
      <c r="S19" s="631">
        <f>+E19*F19</f>
        <v>802300</v>
      </c>
      <c r="T19" s="711" t="s">
        <v>133</v>
      </c>
      <c r="U19" s="702" t="s">
        <v>492</v>
      </c>
      <c r="V19" s="631"/>
      <c r="W19" s="631" t="s">
        <v>124</v>
      </c>
      <c r="X19" s="631" t="s">
        <v>124</v>
      </c>
      <c r="Y19" s="631" t="s">
        <v>124</v>
      </c>
      <c r="Z19" s="703">
        <v>1</v>
      </c>
      <c r="AA19" s="703">
        <v>22</v>
      </c>
      <c r="AB19" s="633">
        <f t="shared" si="0"/>
        <v>0</v>
      </c>
    </row>
    <row r="20" spans="1:28" s="679" customFormat="1" ht="37.35" customHeight="1" x14ac:dyDescent="0.3">
      <c r="A20" s="626" t="s">
        <v>596</v>
      </c>
      <c r="B20" s="628" t="s">
        <v>394</v>
      </c>
      <c r="C20" s="628"/>
      <c r="D20" s="674" t="s">
        <v>264</v>
      </c>
      <c r="E20" s="681">
        <v>85</v>
      </c>
      <c r="F20" s="682">
        <f>'BORDEREAU DES PRIX UNITAIRES'!C105</f>
        <v>1400</v>
      </c>
      <c r="G20" s="629"/>
      <c r="H20" s="630"/>
      <c r="I20" s="629"/>
      <c r="J20" s="631"/>
      <c r="K20" s="629">
        <v>0.15</v>
      </c>
      <c r="L20" s="630">
        <f t="shared" si="4"/>
        <v>17850</v>
      </c>
      <c r="M20" s="629">
        <v>0.4</v>
      </c>
      <c r="N20" s="631">
        <f t="shared" si="2"/>
        <v>47600</v>
      </c>
      <c r="O20" s="629">
        <v>0.4</v>
      </c>
      <c r="P20" s="630">
        <f>+S20*O20</f>
        <v>47600</v>
      </c>
      <c r="Q20" s="629">
        <v>0.05</v>
      </c>
      <c r="R20" s="631">
        <f t="shared" si="5"/>
        <v>5950</v>
      </c>
      <c r="S20" s="631">
        <f>+E20*F20</f>
        <v>119000</v>
      </c>
      <c r="T20" s="632" t="s">
        <v>133</v>
      </c>
      <c r="U20" s="683" t="s">
        <v>321</v>
      </c>
      <c r="V20" s="632"/>
      <c r="W20" s="632" t="s">
        <v>124</v>
      </c>
      <c r="X20" s="632" t="s">
        <v>124</v>
      </c>
      <c r="Y20" s="631"/>
      <c r="Z20" s="678">
        <v>1</v>
      </c>
      <c r="AA20" s="678">
        <v>22</v>
      </c>
      <c r="AB20" s="633">
        <f>S20-(P20+N20+L20+J20+H20+R20)</f>
        <v>0</v>
      </c>
    </row>
    <row r="21" spans="1:28" s="441" customFormat="1" ht="21" customHeight="1" x14ac:dyDescent="0.25">
      <c r="A21" s="439" t="s">
        <v>619</v>
      </c>
      <c r="B21" s="462" t="s">
        <v>487</v>
      </c>
      <c r="C21" s="455"/>
      <c r="D21" s="21" t="s">
        <v>257</v>
      </c>
      <c r="E21" s="330">
        <v>120</v>
      </c>
      <c r="F21" s="25">
        <v>100</v>
      </c>
      <c r="G21" s="19">
        <v>1</v>
      </c>
      <c r="H21" s="463">
        <f>S21*G21</f>
        <v>12000</v>
      </c>
      <c r="I21" s="25"/>
      <c r="J21" s="18">
        <f>+S21*I21</f>
        <v>0</v>
      </c>
      <c r="K21" s="19"/>
      <c r="L21" s="25">
        <f>S21*K21</f>
        <v>0</v>
      </c>
      <c r="M21" s="19"/>
      <c r="N21" s="25">
        <f>S21*M21</f>
        <v>0</v>
      </c>
      <c r="O21" s="25"/>
      <c r="P21" s="25">
        <f>+S21*O21</f>
        <v>0</v>
      </c>
      <c r="Q21" s="19"/>
      <c r="R21" s="25"/>
      <c r="S21" s="25">
        <f>E21*F21</f>
        <v>12000</v>
      </c>
      <c r="T21" s="22" t="s">
        <v>125</v>
      </c>
      <c r="U21" s="452" t="s">
        <v>126</v>
      </c>
      <c r="V21" s="22"/>
      <c r="W21" s="22" t="s">
        <v>124</v>
      </c>
      <c r="X21" s="22" t="s">
        <v>124</v>
      </c>
      <c r="Y21" s="464" t="s">
        <v>124</v>
      </c>
      <c r="Z21" s="20">
        <v>2</v>
      </c>
      <c r="AA21" s="465">
        <v>23</v>
      </c>
    </row>
    <row r="22" spans="1:28" s="245" customFormat="1" x14ac:dyDescent="0.3">
      <c r="A22" s="200" t="s">
        <v>70</v>
      </c>
      <c r="B22" s="303" t="s">
        <v>434</v>
      </c>
      <c r="C22" s="255"/>
      <c r="D22" s="239"/>
      <c r="E22" s="239"/>
      <c r="F22" s="248"/>
      <c r="G22" s="249"/>
      <c r="H22" s="243">
        <f>SUM(H23:H23)</f>
        <v>0</v>
      </c>
      <c r="I22" s="249"/>
      <c r="J22" s="243">
        <f>SUM(J23:J23)</f>
        <v>0</v>
      </c>
      <c r="K22" s="249"/>
      <c r="L22" s="243">
        <f>SUM(L23:L23)</f>
        <v>0</v>
      </c>
      <c r="M22" s="249"/>
      <c r="N22" s="243">
        <f>SUM(N23:N23)</f>
        <v>0</v>
      </c>
      <c r="O22" s="249"/>
      <c r="P22" s="243">
        <f>SUM(P23:P23)</f>
        <v>12480</v>
      </c>
      <c r="Q22" s="249"/>
      <c r="R22" s="243">
        <f>SUM(R23:R23)</f>
        <v>0</v>
      </c>
      <c r="S22" s="243">
        <f>SUM(S23:S23)</f>
        <v>12480</v>
      </c>
      <c r="T22" s="712"/>
      <c r="U22" s="243"/>
      <c r="V22" s="243"/>
      <c r="W22" s="243"/>
      <c r="X22" s="243"/>
      <c r="Y22" s="243"/>
      <c r="Z22" s="244"/>
      <c r="AA22" s="256"/>
      <c r="AB22" s="390">
        <f t="shared" si="0"/>
        <v>0</v>
      </c>
    </row>
    <row r="23" spans="1:28" s="679" customFormat="1" ht="27.6" customHeight="1" x14ac:dyDescent="0.3">
      <c r="A23" s="704" t="s">
        <v>317</v>
      </c>
      <c r="B23" s="628" t="s">
        <v>440</v>
      </c>
      <c r="C23" s="700"/>
      <c r="D23" s="674" t="s">
        <v>105</v>
      </c>
      <c r="E23" s="674">
        <v>1</v>
      </c>
      <c r="F23" s="705">
        <v>12480</v>
      </c>
      <c r="G23" s="629"/>
      <c r="H23" s="630">
        <f>S23*G23</f>
        <v>0</v>
      </c>
      <c r="I23" s="629"/>
      <c r="J23" s="631">
        <f>+S23*I23</f>
        <v>0</v>
      </c>
      <c r="K23" s="629"/>
      <c r="L23" s="630"/>
      <c r="M23" s="629">
        <v>0</v>
      </c>
      <c r="N23" s="631">
        <f>+S23*M23</f>
        <v>0</v>
      </c>
      <c r="O23" s="629">
        <v>1</v>
      </c>
      <c r="P23" s="630">
        <f>+S23*O23</f>
        <v>12480</v>
      </c>
      <c r="Q23" s="629"/>
      <c r="R23" s="631">
        <f>+S23*Q23</f>
        <v>0</v>
      </c>
      <c r="S23" s="631">
        <f>+E23*F23</f>
        <v>12480</v>
      </c>
      <c r="T23" s="642" t="s">
        <v>133</v>
      </c>
      <c r="U23" s="631" t="s">
        <v>147</v>
      </c>
      <c r="V23" s="632"/>
      <c r="W23" s="632" t="s">
        <v>124</v>
      </c>
      <c r="X23" s="632" t="s">
        <v>124</v>
      </c>
      <c r="Y23" s="631" t="s">
        <v>124</v>
      </c>
      <c r="Z23" s="703">
        <v>2</v>
      </c>
      <c r="AA23" s="645">
        <v>22</v>
      </c>
      <c r="AB23" s="633">
        <f t="shared" si="0"/>
        <v>0</v>
      </c>
    </row>
    <row r="24" spans="1:28" s="532" customFormat="1" ht="28.35" customHeight="1" x14ac:dyDescent="0.3">
      <c r="A24" s="169" t="s">
        <v>71</v>
      </c>
      <c r="B24" s="169" t="s">
        <v>152</v>
      </c>
      <c r="C24" s="378"/>
      <c r="D24" s="379"/>
      <c r="E24" s="528"/>
      <c r="F24" s="529"/>
      <c r="G24" s="380"/>
      <c r="H24" s="530">
        <f>+H25+H29+H32+H35+H39+H42+H45</f>
        <v>751679</v>
      </c>
      <c r="I24" s="380"/>
      <c r="J24" s="381">
        <f>+J25+J29+J32+J35+J39+J42+J45</f>
        <v>10450</v>
      </c>
      <c r="K24" s="380"/>
      <c r="L24" s="530">
        <f>+L25+L29+L32+L35+L39+L42+L45</f>
        <v>855</v>
      </c>
      <c r="M24" s="380"/>
      <c r="N24" s="381">
        <f>+N25+N29+N32+N35+N39+N42+N45</f>
        <v>210162.5</v>
      </c>
      <c r="O24" s="380"/>
      <c r="P24" s="530">
        <f>+P25+P29+P32+P35+P39+P42+P45</f>
        <v>500</v>
      </c>
      <c r="Q24" s="380"/>
      <c r="R24" s="381">
        <f>+R25+R29+R32+R35+R39+R42+R45</f>
        <v>50000</v>
      </c>
      <c r="S24" s="381">
        <f>+S25+S29+S32+S35+S39+S42+S45</f>
        <v>1073646.5</v>
      </c>
      <c r="T24" s="713"/>
      <c r="U24" s="531"/>
      <c r="V24" s="381"/>
      <c r="W24" s="381"/>
      <c r="X24" s="381"/>
      <c r="Y24" s="381"/>
      <c r="Z24" s="526"/>
      <c r="AA24" s="382"/>
      <c r="AB24" s="527">
        <f t="shared" si="0"/>
        <v>50000</v>
      </c>
    </row>
    <row r="25" spans="1:28" s="245" customFormat="1" ht="28.5" customHeight="1" x14ac:dyDescent="0.3">
      <c r="A25" s="200" t="s">
        <v>72</v>
      </c>
      <c r="B25" s="303" t="s">
        <v>180</v>
      </c>
      <c r="C25" s="255"/>
      <c r="D25" s="239"/>
      <c r="E25" s="239"/>
      <c r="F25" s="248"/>
      <c r="G25" s="249"/>
      <c r="H25" s="243">
        <f>SUM(H26:H28)</f>
        <v>434500</v>
      </c>
      <c r="I25" s="249"/>
      <c r="J25" s="243">
        <f>SUM(J26:J28)</f>
        <v>0</v>
      </c>
      <c r="K25" s="249"/>
      <c r="L25" s="243">
        <f>SUM(L26:L28)</f>
        <v>0</v>
      </c>
      <c r="M25" s="249"/>
      <c r="N25" s="243">
        <f>SUM(N26:N27)</f>
        <v>0</v>
      </c>
      <c r="O25" s="249"/>
      <c r="P25" s="243">
        <f>SUM(P26:P28)</f>
        <v>0</v>
      </c>
      <c r="Q25" s="249"/>
      <c r="R25" s="243">
        <f>SUM(R26:R28)</f>
        <v>50000</v>
      </c>
      <c r="S25" s="243">
        <f>SUM(S26:S28)</f>
        <v>534500</v>
      </c>
      <c r="T25" s="712"/>
      <c r="U25" s="243"/>
      <c r="V25" s="243"/>
      <c r="W25" s="243"/>
      <c r="X25" s="243"/>
      <c r="Y25" s="243"/>
      <c r="Z25" s="244"/>
      <c r="AA25" s="256"/>
      <c r="AB25" s="390">
        <f t="shared" si="0"/>
        <v>50000</v>
      </c>
    </row>
    <row r="26" spans="1:28" s="444" customFormat="1" ht="41.4" customHeight="1" x14ac:dyDescent="0.3">
      <c r="A26" s="439" t="s">
        <v>191</v>
      </c>
      <c r="B26" s="439" t="s">
        <v>441</v>
      </c>
      <c r="C26" s="114"/>
      <c r="D26" s="107" t="s">
        <v>110</v>
      </c>
      <c r="E26" s="107">
        <v>2</v>
      </c>
      <c r="F26" s="110">
        <f>'BORDEREAU DES PRIX UNITAIRES'!F115</f>
        <v>6750</v>
      </c>
      <c r="G26" s="113">
        <v>1</v>
      </c>
      <c r="H26" s="108">
        <f>S26*G26</f>
        <v>13500</v>
      </c>
      <c r="I26" s="113"/>
      <c r="J26" s="109"/>
      <c r="K26" s="113"/>
      <c r="L26" s="108"/>
      <c r="M26" s="113"/>
      <c r="N26" s="109"/>
      <c r="O26" s="113"/>
      <c r="P26" s="108"/>
      <c r="Q26" s="113"/>
      <c r="R26" s="109"/>
      <c r="S26" s="109">
        <f>+E26*F26</f>
        <v>13500</v>
      </c>
      <c r="T26" s="119" t="s">
        <v>108</v>
      </c>
      <c r="U26" s="109" t="s">
        <v>269</v>
      </c>
      <c r="V26" s="109" t="s">
        <v>124</v>
      </c>
      <c r="W26" s="109"/>
      <c r="X26" s="109" t="s">
        <v>124</v>
      </c>
      <c r="Y26" s="109"/>
      <c r="Z26" s="115">
        <v>4</v>
      </c>
      <c r="AA26" s="115">
        <v>61</v>
      </c>
      <c r="AB26" s="431">
        <f t="shared" si="0"/>
        <v>0</v>
      </c>
    </row>
    <row r="27" spans="1:28" s="444" customFormat="1" ht="55.8" customHeight="1" x14ac:dyDescent="0.3">
      <c r="A27" s="439" t="s">
        <v>192</v>
      </c>
      <c r="B27" s="439" t="s">
        <v>605</v>
      </c>
      <c r="C27" s="114"/>
      <c r="D27" s="107" t="s">
        <v>406</v>
      </c>
      <c r="E27" s="107">
        <v>12</v>
      </c>
      <c r="F27" s="110">
        <f>'BORDEREAU DES PRIX UNITAIRES'!E124</f>
        <v>1750</v>
      </c>
      <c r="G27" s="113">
        <v>1</v>
      </c>
      <c r="H27" s="108">
        <f>S27*G27</f>
        <v>21000</v>
      </c>
      <c r="I27" s="113"/>
      <c r="J27" s="109">
        <f>+S27*I27</f>
        <v>0</v>
      </c>
      <c r="K27" s="113"/>
      <c r="L27" s="108">
        <f>S27*K27</f>
        <v>0</v>
      </c>
      <c r="M27" s="113"/>
      <c r="N27" s="109"/>
      <c r="O27" s="113"/>
      <c r="P27" s="108">
        <f>+S27*O27</f>
        <v>0</v>
      </c>
      <c r="Q27" s="113"/>
      <c r="R27" s="109">
        <f>+S27*Q27</f>
        <v>0</v>
      </c>
      <c r="S27" s="109">
        <f>+E27*F27</f>
        <v>21000</v>
      </c>
      <c r="T27" s="119" t="s">
        <v>108</v>
      </c>
      <c r="U27" s="109" t="s">
        <v>269</v>
      </c>
      <c r="V27" s="109"/>
      <c r="W27" s="109" t="s">
        <v>124</v>
      </c>
      <c r="X27" s="109" t="s">
        <v>124</v>
      </c>
      <c r="Y27" s="109"/>
      <c r="Z27" s="115">
        <v>2</v>
      </c>
      <c r="AA27" s="115">
        <v>21</v>
      </c>
      <c r="AB27" s="431">
        <f t="shared" si="0"/>
        <v>0</v>
      </c>
    </row>
    <row r="28" spans="1:28" s="64" customFormat="1" ht="26.4" customHeight="1" x14ac:dyDescent="0.3">
      <c r="A28" s="439" t="s">
        <v>193</v>
      </c>
      <c r="B28" s="439" t="s">
        <v>442</v>
      </c>
      <c r="C28" s="28"/>
      <c r="D28" s="21" t="s">
        <v>107</v>
      </c>
      <c r="E28" s="21">
        <v>100</v>
      </c>
      <c r="F28" s="18">
        <v>5000</v>
      </c>
      <c r="G28" s="19">
        <v>0.8</v>
      </c>
      <c r="H28" s="18">
        <f>+S28*G28</f>
        <v>400000</v>
      </c>
      <c r="I28" s="27"/>
      <c r="J28" s="18">
        <f>+S28*I28</f>
        <v>0</v>
      </c>
      <c r="K28" s="19">
        <v>0</v>
      </c>
      <c r="L28" s="18">
        <f>+S28*K28</f>
        <v>0</v>
      </c>
      <c r="M28" s="113">
        <v>0.1</v>
      </c>
      <c r="N28" s="18">
        <f>+S28*M28</f>
        <v>50000</v>
      </c>
      <c r="O28" s="19"/>
      <c r="P28" s="18">
        <f>+S28*O28</f>
        <v>0</v>
      </c>
      <c r="Q28" s="19">
        <v>0.1</v>
      </c>
      <c r="R28" s="18">
        <f>+S28*Q28</f>
        <v>50000</v>
      </c>
      <c r="S28" s="18">
        <f>+E28*F28</f>
        <v>500000</v>
      </c>
      <c r="T28" s="449" t="s">
        <v>108</v>
      </c>
      <c r="U28" s="438" t="s">
        <v>132</v>
      </c>
      <c r="V28" s="325"/>
      <c r="W28" s="325" t="s">
        <v>114</v>
      </c>
      <c r="X28" s="325" t="s">
        <v>114</v>
      </c>
      <c r="Y28" s="18" t="s">
        <v>124</v>
      </c>
      <c r="Z28" s="435">
        <v>1</v>
      </c>
      <c r="AA28" s="442">
        <v>21</v>
      </c>
      <c r="AB28" s="440">
        <f>S28-(R28+P28+N28+L28+J28+H28)</f>
        <v>0</v>
      </c>
    </row>
    <row r="29" spans="1:28" s="245" customFormat="1" x14ac:dyDescent="0.3">
      <c r="A29" s="200" t="s">
        <v>73</v>
      </c>
      <c r="B29" s="303" t="s">
        <v>181</v>
      </c>
      <c r="C29" s="257"/>
      <c r="D29" s="239"/>
      <c r="E29" s="247"/>
      <c r="F29" s="248"/>
      <c r="G29" s="249"/>
      <c r="H29" s="243">
        <f>SUM(H30:H31)</f>
        <v>90000</v>
      </c>
      <c r="I29" s="249"/>
      <c r="J29" s="243">
        <f>SUM(J30:J31)</f>
        <v>0</v>
      </c>
      <c r="K29" s="249"/>
      <c r="L29" s="243">
        <f>SUM(L30:L31)</f>
        <v>0</v>
      </c>
      <c r="M29" s="249"/>
      <c r="N29" s="243">
        <f>SUM(N30:N31)</f>
        <v>50000</v>
      </c>
      <c r="O29" s="249"/>
      <c r="P29" s="243">
        <f>SUM(P30:P31)</f>
        <v>0</v>
      </c>
      <c r="Q29" s="249"/>
      <c r="R29" s="243">
        <f>SUM(R30:R31)</f>
        <v>0</v>
      </c>
      <c r="S29" s="243">
        <f>SUM(S30:S31)</f>
        <v>140000</v>
      </c>
      <c r="T29" s="714"/>
      <c r="U29" s="250"/>
      <c r="V29" s="250"/>
      <c r="W29" s="250"/>
      <c r="X29" s="250"/>
      <c r="Y29" s="250"/>
      <c r="Z29" s="244"/>
      <c r="AA29" s="244"/>
      <c r="AB29" s="390">
        <f t="shared" si="0"/>
        <v>0</v>
      </c>
    </row>
    <row r="30" spans="1:28" s="433" customFormat="1" ht="40.799999999999997" customHeight="1" x14ac:dyDescent="0.3">
      <c r="A30" s="439" t="s">
        <v>194</v>
      </c>
      <c r="B30" s="116" t="s">
        <v>443</v>
      </c>
      <c r="C30" s="121"/>
      <c r="D30" s="107" t="s">
        <v>265</v>
      </c>
      <c r="E30" s="107">
        <v>1000</v>
      </c>
      <c r="F30" s="212">
        <v>120</v>
      </c>
      <c r="G30" s="19">
        <v>0.75</v>
      </c>
      <c r="H30" s="108">
        <f>S30*G30</f>
        <v>90000</v>
      </c>
      <c r="I30" s="132"/>
      <c r="J30" s="109"/>
      <c r="K30" s="19"/>
      <c r="L30" s="108">
        <f>S30*K30</f>
        <v>0</v>
      </c>
      <c r="M30" s="113">
        <v>0.25</v>
      </c>
      <c r="N30" s="109">
        <f>+S30*M30</f>
        <v>30000</v>
      </c>
      <c r="O30" s="132"/>
      <c r="P30" s="108">
        <f>+S30*O30</f>
        <v>0</v>
      </c>
      <c r="Q30" s="132"/>
      <c r="R30" s="109"/>
      <c r="S30" s="109">
        <f>+E30*F30</f>
        <v>120000</v>
      </c>
      <c r="T30" s="107" t="s">
        <v>108</v>
      </c>
      <c r="U30" s="121" t="s">
        <v>148</v>
      </c>
      <c r="V30" s="121"/>
      <c r="W30" s="121" t="s">
        <v>124</v>
      </c>
      <c r="X30" s="121" t="s">
        <v>124</v>
      </c>
      <c r="Y30" s="121" t="s">
        <v>124</v>
      </c>
      <c r="Z30" s="115">
        <v>1</v>
      </c>
      <c r="AA30" s="115">
        <v>22</v>
      </c>
      <c r="AB30" s="431">
        <f>S30-(P30+N30+L30+J30+H30+R30)</f>
        <v>0</v>
      </c>
    </row>
    <row r="31" spans="1:28" s="433" customFormat="1" ht="34.200000000000003" customHeight="1" x14ac:dyDescent="0.3">
      <c r="A31" s="439" t="s">
        <v>195</v>
      </c>
      <c r="B31" s="439" t="s">
        <v>444</v>
      </c>
      <c r="C31" s="121"/>
      <c r="D31" s="107" t="s">
        <v>266</v>
      </c>
      <c r="E31" s="107">
        <v>1000</v>
      </c>
      <c r="F31" s="212">
        <v>20</v>
      </c>
      <c r="G31" s="132"/>
      <c r="H31" s="108">
        <f>S31*G31</f>
        <v>0</v>
      </c>
      <c r="I31" s="132"/>
      <c r="J31" s="109"/>
      <c r="K31" s="113"/>
      <c r="L31" s="108">
        <f>S31*K31</f>
        <v>0</v>
      </c>
      <c r="M31" s="19">
        <v>1</v>
      </c>
      <c r="N31" s="109">
        <f>+S31*M31</f>
        <v>20000</v>
      </c>
      <c r="O31" s="132"/>
      <c r="P31" s="108">
        <f>+S31*O31</f>
        <v>0</v>
      </c>
      <c r="Q31" s="132"/>
      <c r="R31" s="109"/>
      <c r="S31" s="109">
        <f>+E31*F31</f>
        <v>20000</v>
      </c>
      <c r="T31" s="107" t="s">
        <v>121</v>
      </c>
      <c r="U31" s="121" t="s">
        <v>148</v>
      </c>
      <c r="V31" s="121"/>
      <c r="W31" s="121" t="s">
        <v>124</v>
      </c>
      <c r="X31" s="121" t="s">
        <v>124</v>
      </c>
      <c r="Y31" s="121" t="s">
        <v>124</v>
      </c>
      <c r="Z31" s="115">
        <v>1</v>
      </c>
      <c r="AA31" s="115">
        <v>22</v>
      </c>
      <c r="AB31" s="431">
        <f t="shared" si="0"/>
        <v>0</v>
      </c>
    </row>
    <row r="32" spans="1:28" s="260" customFormat="1" x14ac:dyDescent="0.3">
      <c r="A32" s="328" t="s">
        <v>74</v>
      </c>
      <c r="B32" s="398" t="s">
        <v>182</v>
      </c>
      <c r="C32" s="255"/>
      <c r="D32" s="239"/>
      <c r="E32" s="258"/>
      <c r="F32" s="259"/>
      <c r="G32" s="249"/>
      <c r="H32" s="243">
        <f>SUM(H33:H34)</f>
        <v>9984</v>
      </c>
      <c r="I32" s="249"/>
      <c r="J32" s="243">
        <f>SUM(J33:J34)</f>
        <v>0</v>
      </c>
      <c r="K32" s="249"/>
      <c r="L32" s="243">
        <f>SUM(L33:L34)</f>
        <v>0</v>
      </c>
      <c r="M32" s="249"/>
      <c r="N32" s="243">
        <f>SUM(N33:N34)</f>
        <v>20000</v>
      </c>
      <c r="O32" s="249"/>
      <c r="P32" s="243">
        <f>SUM(P33:P34)</f>
        <v>0</v>
      </c>
      <c r="Q32" s="249"/>
      <c r="R32" s="243">
        <f>SUM(R33:R34)</f>
        <v>0</v>
      </c>
      <c r="S32" s="243">
        <f>SUM(S33:S34)</f>
        <v>29984</v>
      </c>
      <c r="T32" s="712"/>
      <c r="U32" s="243"/>
      <c r="V32" s="243"/>
      <c r="W32" s="243"/>
      <c r="X32" s="243"/>
      <c r="Y32" s="243"/>
      <c r="Z32" s="244"/>
      <c r="AA32" s="244"/>
      <c r="AB32" s="390">
        <f t="shared" si="0"/>
        <v>0</v>
      </c>
    </row>
    <row r="33" spans="1:29" s="444" customFormat="1" ht="43.2" x14ac:dyDescent="0.3">
      <c r="A33" s="439" t="s">
        <v>196</v>
      </c>
      <c r="B33" s="439" t="s">
        <v>445</v>
      </c>
      <c r="C33" s="121"/>
      <c r="D33" s="593" t="s">
        <v>111</v>
      </c>
      <c r="E33" s="107">
        <v>1</v>
      </c>
      <c r="F33" s="616">
        <f>'BORDEREAU DES PRIX UNITAIRES'!F154</f>
        <v>9984</v>
      </c>
      <c r="G33" s="19">
        <v>1</v>
      </c>
      <c r="H33" s="18">
        <f>+S33*G33</f>
        <v>9984</v>
      </c>
      <c r="I33" s="132"/>
      <c r="J33" s="109">
        <f>+S33*I33</f>
        <v>0</v>
      </c>
      <c r="K33" s="113"/>
      <c r="L33" s="108">
        <f>S33*K33</f>
        <v>0</v>
      </c>
      <c r="M33" s="19"/>
      <c r="N33" s="109">
        <f>+S33*M33</f>
        <v>0</v>
      </c>
      <c r="O33" s="132"/>
      <c r="P33" s="108">
        <f>+S33*O33</f>
        <v>0</v>
      </c>
      <c r="Q33" s="132"/>
      <c r="R33" s="109"/>
      <c r="S33" s="18">
        <f>+E33*F33</f>
        <v>9984</v>
      </c>
      <c r="T33" s="449" t="s">
        <v>243</v>
      </c>
      <c r="U33" s="121" t="s">
        <v>437</v>
      </c>
      <c r="V33" s="121"/>
      <c r="W33" s="121"/>
      <c r="X33" s="121" t="s">
        <v>124</v>
      </c>
      <c r="Y33" s="121" t="s">
        <v>124</v>
      </c>
      <c r="Z33" s="115">
        <v>4</v>
      </c>
      <c r="AA33" s="115">
        <v>61</v>
      </c>
      <c r="AB33" s="431"/>
      <c r="AC33" s="432"/>
    </row>
    <row r="34" spans="1:29" s="433" customFormat="1" ht="46.2" customHeight="1" x14ac:dyDescent="0.3">
      <c r="A34" s="439" t="s">
        <v>284</v>
      </c>
      <c r="B34" s="634" t="s">
        <v>560</v>
      </c>
      <c r="C34" s="114"/>
      <c r="D34" s="107" t="s">
        <v>107</v>
      </c>
      <c r="E34" s="107">
        <v>1</v>
      </c>
      <c r="F34" s="395">
        <f>'BORDEREAU DES PRIX UNITAIRES'!F167</f>
        <v>20000</v>
      </c>
      <c r="G34" s="113"/>
      <c r="H34" s="108">
        <f>S34*G34</f>
        <v>0</v>
      </c>
      <c r="I34" s="113"/>
      <c r="J34" s="109">
        <f>+S34*I34</f>
        <v>0</v>
      </c>
      <c r="K34" s="113"/>
      <c r="L34" s="108">
        <f>S34*K34</f>
        <v>0</v>
      </c>
      <c r="M34" s="113">
        <v>1</v>
      </c>
      <c r="N34" s="109">
        <f>+S34*M34</f>
        <v>20000</v>
      </c>
      <c r="O34" s="113"/>
      <c r="P34" s="108">
        <f>+S34*O34</f>
        <v>0</v>
      </c>
      <c r="Q34" s="113"/>
      <c r="R34" s="109">
        <f>+S34*Q34</f>
        <v>0</v>
      </c>
      <c r="S34" s="109">
        <f>+E34*F34</f>
        <v>20000</v>
      </c>
      <c r="T34" s="111" t="s">
        <v>121</v>
      </c>
      <c r="U34" s="130" t="s">
        <v>270</v>
      </c>
      <c r="V34" s="111"/>
      <c r="W34" s="111" t="s">
        <v>124</v>
      </c>
      <c r="X34" s="111" t="s">
        <v>124</v>
      </c>
      <c r="Y34" s="111"/>
      <c r="Z34" s="115">
        <v>4</v>
      </c>
      <c r="AA34" s="115">
        <v>21</v>
      </c>
      <c r="AB34" s="431">
        <f>S34-(P34+N34+L34+J34+H34+R34)</f>
        <v>0</v>
      </c>
      <c r="AC34" s="432">
        <f>S34-AB34</f>
        <v>20000</v>
      </c>
    </row>
    <row r="35" spans="1:29" s="260" customFormat="1" ht="26.4" customHeight="1" x14ac:dyDescent="0.3">
      <c r="A35" s="200" t="s">
        <v>75</v>
      </c>
      <c r="B35" s="303" t="s">
        <v>183</v>
      </c>
      <c r="C35" s="246"/>
      <c r="D35" s="261"/>
      <c r="E35" s="262"/>
      <c r="F35" s="263"/>
      <c r="G35" s="264"/>
      <c r="H35" s="265">
        <f>SUM(H36:H38)</f>
        <v>66000</v>
      </c>
      <c r="I35" s="264"/>
      <c r="J35" s="265">
        <f>SUM(J36:J38)</f>
        <v>0</v>
      </c>
      <c r="K35" s="264"/>
      <c r="L35" s="265">
        <f>SUM(L36:L38)</f>
        <v>0</v>
      </c>
      <c r="M35" s="264"/>
      <c r="N35" s="265">
        <f>SUM(N36:N38)</f>
        <v>34500</v>
      </c>
      <c r="O35" s="264"/>
      <c r="P35" s="265">
        <f>SUM(P36:P38)</f>
        <v>0</v>
      </c>
      <c r="Q35" s="264"/>
      <c r="R35" s="265">
        <f>SUM(R36:R38)</f>
        <v>0</v>
      </c>
      <c r="S35" s="265">
        <f>SUM(S36:S38)</f>
        <v>100500</v>
      </c>
      <c r="T35" s="715"/>
      <c r="U35" s="266"/>
      <c r="V35" s="265"/>
      <c r="W35" s="265"/>
      <c r="X35" s="265"/>
      <c r="Y35" s="265"/>
      <c r="Z35" s="253"/>
      <c r="AA35" s="253"/>
      <c r="AB35" s="390">
        <f t="shared" si="0"/>
        <v>0</v>
      </c>
      <c r="AC35" s="267">
        <f t="shared" ref="AC35:AC46" si="6">S35-AB35</f>
        <v>100500</v>
      </c>
    </row>
    <row r="36" spans="1:29" s="433" customFormat="1" ht="31.2" customHeight="1" x14ac:dyDescent="0.3">
      <c r="A36" s="439" t="s">
        <v>197</v>
      </c>
      <c r="B36" s="439" t="s">
        <v>496</v>
      </c>
      <c r="C36" s="586"/>
      <c r="D36" s="107" t="s">
        <v>438</v>
      </c>
      <c r="E36" s="129">
        <v>1</v>
      </c>
      <c r="F36" s="612">
        <v>38000</v>
      </c>
      <c r="G36" s="113">
        <v>0.75</v>
      </c>
      <c r="H36" s="108">
        <f>S36*G36</f>
        <v>28500</v>
      </c>
      <c r="I36" s="113"/>
      <c r="J36" s="109"/>
      <c r="K36" s="113"/>
      <c r="L36" s="108">
        <f>S36*K36</f>
        <v>0</v>
      </c>
      <c r="M36" s="113">
        <v>0.25</v>
      </c>
      <c r="N36" s="109">
        <f>+S36*M36</f>
        <v>9500</v>
      </c>
      <c r="O36" s="113"/>
      <c r="P36" s="108"/>
      <c r="Q36" s="113"/>
      <c r="R36" s="109"/>
      <c r="S36" s="109">
        <f>+E36*F36</f>
        <v>38000</v>
      </c>
      <c r="T36" s="449" t="s">
        <v>108</v>
      </c>
      <c r="U36" s="121" t="s">
        <v>148</v>
      </c>
      <c r="V36" s="121"/>
      <c r="W36" s="121" t="s">
        <v>124</v>
      </c>
      <c r="X36" s="121" t="s">
        <v>124</v>
      </c>
      <c r="Y36" s="121" t="s">
        <v>124</v>
      </c>
      <c r="Z36" s="112">
        <v>1</v>
      </c>
      <c r="AA36" s="112">
        <v>22</v>
      </c>
      <c r="AB36" s="431"/>
      <c r="AC36" s="432"/>
    </row>
    <row r="37" spans="1:29" s="433" customFormat="1" ht="28.8" x14ac:dyDescent="0.3">
      <c r="A37" s="439" t="s">
        <v>198</v>
      </c>
      <c r="B37" s="439" t="s">
        <v>497</v>
      </c>
      <c r="C37" s="114"/>
      <c r="D37" s="107" t="s">
        <v>446</v>
      </c>
      <c r="E37" s="131">
        <v>10</v>
      </c>
      <c r="F37" s="329">
        <v>5000</v>
      </c>
      <c r="G37" s="113">
        <v>0.75</v>
      </c>
      <c r="H37" s="108">
        <f>S37*G37</f>
        <v>37500</v>
      </c>
      <c r="I37" s="113"/>
      <c r="J37" s="109">
        <f>+S37*I37</f>
        <v>0</v>
      </c>
      <c r="K37" s="113"/>
      <c r="L37" s="108">
        <f>S37*K37</f>
        <v>0</v>
      </c>
      <c r="M37" s="113">
        <v>0.25</v>
      </c>
      <c r="N37" s="109">
        <f>+S37*M37</f>
        <v>12500</v>
      </c>
      <c r="O37" s="113"/>
      <c r="P37" s="108">
        <f>+S37*O37</f>
        <v>0</v>
      </c>
      <c r="Q37" s="113"/>
      <c r="R37" s="109">
        <f>+S37*Q37</f>
        <v>0</v>
      </c>
      <c r="S37" s="109">
        <f>+E37*F37</f>
        <v>50000</v>
      </c>
      <c r="T37" s="449" t="s">
        <v>108</v>
      </c>
      <c r="U37" s="121" t="s">
        <v>148</v>
      </c>
      <c r="V37" s="121"/>
      <c r="W37" s="121"/>
      <c r="X37" s="121" t="s">
        <v>124</v>
      </c>
      <c r="Y37" s="121" t="s">
        <v>124</v>
      </c>
      <c r="Z37" s="115">
        <v>4</v>
      </c>
      <c r="AA37" s="115">
        <v>22</v>
      </c>
      <c r="AB37" s="431">
        <f t="shared" ref="AB37:AB54" si="7">S37-(P37+N37+L37+J37+H37+R37)</f>
        <v>0</v>
      </c>
      <c r="AC37" s="432">
        <f t="shared" si="6"/>
        <v>50000</v>
      </c>
    </row>
    <row r="38" spans="1:29" s="433" customFormat="1" ht="28.8" x14ac:dyDescent="0.3">
      <c r="A38" s="439" t="s">
        <v>199</v>
      </c>
      <c r="B38" s="439" t="s">
        <v>498</v>
      </c>
      <c r="C38" s="114"/>
      <c r="D38" s="107" t="s">
        <v>110</v>
      </c>
      <c r="E38" s="131">
        <v>5</v>
      </c>
      <c r="F38" s="329">
        <v>2500</v>
      </c>
      <c r="G38" s="113"/>
      <c r="H38" s="108"/>
      <c r="I38" s="113">
        <v>0</v>
      </c>
      <c r="J38" s="109">
        <f>+S38*I38</f>
        <v>0</v>
      </c>
      <c r="K38" s="113"/>
      <c r="L38" s="108"/>
      <c r="M38" s="113">
        <v>1</v>
      </c>
      <c r="N38" s="109">
        <f>+S38*M38</f>
        <v>12500</v>
      </c>
      <c r="O38" s="113"/>
      <c r="P38" s="108"/>
      <c r="Q38" s="113"/>
      <c r="R38" s="109"/>
      <c r="S38" s="109">
        <f>+E38*F38</f>
        <v>12500</v>
      </c>
      <c r="T38" s="449" t="s">
        <v>121</v>
      </c>
      <c r="U38" s="121" t="s">
        <v>148</v>
      </c>
      <c r="V38" s="121"/>
      <c r="W38" s="121"/>
      <c r="X38" s="121" t="s">
        <v>124</v>
      </c>
      <c r="Y38" s="121" t="s">
        <v>124</v>
      </c>
      <c r="Z38" s="115">
        <v>4</v>
      </c>
      <c r="AA38" s="115">
        <v>22</v>
      </c>
      <c r="AB38" s="431">
        <f t="shared" si="7"/>
        <v>0</v>
      </c>
      <c r="AC38" s="432"/>
    </row>
    <row r="39" spans="1:29" s="372" customFormat="1" x14ac:dyDescent="0.3">
      <c r="A39" s="303" t="s">
        <v>76</v>
      </c>
      <c r="B39" s="303" t="s">
        <v>184</v>
      </c>
      <c r="C39" s="255"/>
      <c r="D39" s="363"/>
      <c r="E39" s="364"/>
      <c r="F39" s="365"/>
      <c r="G39" s="366"/>
      <c r="H39" s="367">
        <f>SUM(H40:H41)</f>
        <v>147300</v>
      </c>
      <c r="I39" s="366"/>
      <c r="J39" s="367">
        <f>SUM(J40:J41)</f>
        <v>10450</v>
      </c>
      <c r="K39" s="366"/>
      <c r="L39" s="367">
        <f>SUM(L40:L41)</f>
        <v>0</v>
      </c>
      <c r="M39" s="366"/>
      <c r="N39" s="367">
        <f>SUM(N40:N41)</f>
        <v>52750</v>
      </c>
      <c r="O39" s="366"/>
      <c r="P39" s="367">
        <f>SUM(P40:P41)</f>
        <v>500</v>
      </c>
      <c r="Q39" s="366"/>
      <c r="R39" s="367">
        <f>SUM(R40:R41)</f>
        <v>0</v>
      </c>
      <c r="S39" s="367">
        <f>SUM(S40:S41)</f>
        <v>211000</v>
      </c>
      <c r="T39" s="368"/>
      <c r="U39" s="369"/>
      <c r="V39" s="368"/>
      <c r="W39" s="368"/>
      <c r="X39" s="368"/>
      <c r="Y39" s="368"/>
      <c r="Z39" s="370"/>
      <c r="AA39" s="370"/>
      <c r="AB39" s="390">
        <f t="shared" si="7"/>
        <v>0</v>
      </c>
      <c r="AC39" s="371">
        <f t="shared" si="6"/>
        <v>211000</v>
      </c>
    </row>
    <row r="40" spans="1:29" s="444" customFormat="1" ht="43.8" customHeight="1" x14ac:dyDescent="0.3">
      <c r="A40" s="446" t="s">
        <v>200</v>
      </c>
      <c r="B40" s="593" t="s">
        <v>448</v>
      </c>
      <c r="C40" s="114"/>
      <c r="D40" s="107" t="s">
        <v>110</v>
      </c>
      <c r="E40" s="107">
        <v>1</v>
      </c>
      <c r="F40" s="395">
        <f>'BORDEREAU DES PRIX UNITAIRES'!C181</f>
        <v>209000</v>
      </c>
      <c r="G40" s="113">
        <v>0.7</v>
      </c>
      <c r="H40" s="108">
        <f>S40*G40</f>
        <v>146300</v>
      </c>
      <c r="I40" s="113">
        <v>0.05</v>
      </c>
      <c r="J40" s="109">
        <f>+S40*I40</f>
        <v>10450</v>
      </c>
      <c r="K40" s="113"/>
      <c r="L40" s="108"/>
      <c r="M40" s="113">
        <v>0.25</v>
      </c>
      <c r="N40" s="109">
        <f>+S40*M40</f>
        <v>52250</v>
      </c>
      <c r="O40" s="113"/>
      <c r="P40" s="108">
        <f>+S40*O40</f>
        <v>0</v>
      </c>
      <c r="Q40" s="113"/>
      <c r="R40" s="109">
        <f>+S40*Q40</f>
        <v>0</v>
      </c>
      <c r="S40" s="109">
        <f>+E40*F40</f>
        <v>209000</v>
      </c>
      <c r="T40" s="119" t="s">
        <v>121</v>
      </c>
      <c r="U40" s="109" t="s">
        <v>146</v>
      </c>
      <c r="V40" s="111"/>
      <c r="W40" s="111" t="s">
        <v>124</v>
      </c>
      <c r="X40" s="111" t="s">
        <v>124</v>
      </c>
      <c r="Y40" s="109" t="s">
        <v>124</v>
      </c>
      <c r="Z40" s="115">
        <v>2</v>
      </c>
      <c r="AA40" s="112">
        <v>21</v>
      </c>
      <c r="AB40" s="431">
        <f>S40-(P40+N40+L40+J40+H40+R40)</f>
        <v>0</v>
      </c>
    </row>
    <row r="41" spans="1:29" s="433" customFormat="1" ht="18" customHeight="1" x14ac:dyDescent="0.3">
      <c r="A41" s="446" t="s">
        <v>447</v>
      </c>
      <c r="B41" s="439" t="s">
        <v>606</v>
      </c>
      <c r="C41" s="116"/>
      <c r="D41" s="107" t="s">
        <v>107</v>
      </c>
      <c r="E41" s="129">
        <v>1</v>
      </c>
      <c r="F41" s="128">
        <v>2000</v>
      </c>
      <c r="G41" s="113">
        <v>0.5</v>
      </c>
      <c r="H41" s="108">
        <f>S41*G41</f>
        <v>1000</v>
      </c>
      <c r="I41" s="113"/>
      <c r="J41" s="109">
        <f>+S41*I41</f>
        <v>0</v>
      </c>
      <c r="K41" s="113"/>
      <c r="L41" s="108">
        <f>S41*K41</f>
        <v>0</v>
      </c>
      <c r="M41" s="133">
        <v>0.25</v>
      </c>
      <c r="N41" s="109">
        <f>+S41*M41</f>
        <v>500</v>
      </c>
      <c r="O41" s="113">
        <v>0.25</v>
      </c>
      <c r="P41" s="108">
        <f>+S41*O41</f>
        <v>500</v>
      </c>
      <c r="Q41" s="113"/>
      <c r="R41" s="108">
        <f>+S41*Q41</f>
        <v>0</v>
      </c>
      <c r="S41" s="109">
        <f>+E41*F41</f>
        <v>2000</v>
      </c>
      <c r="T41" s="111" t="s">
        <v>123</v>
      </c>
      <c r="U41" s="130" t="s">
        <v>267</v>
      </c>
      <c r="V41" s="111"/>
      <c r="W41" s="111" t="s">
        <v>124</v>
      </c>
      <c r="X41" s="111"/>
      <c r="Y41" s="111" t="s">
        <v>124</v>
      </c>
      <c r="Z41" s="112">
        <v>5</v>
      </c>
      <c r="AA41" s="112">
        <v>61</v>
      </c>
      <c r="AB41" s="431">
        <f>S41-(P41+N41+L41+J41+H41+R41)</f>
        <v>0</v>
      </c>
      <c r="AC41" s="432"/>
    </row>
    <row r="42" spans="1:29" s="372" customFormat="1" ht="28.8" x14ac:dyDescent="0.3">
      <c r="A42" s="303" t="s">
        <v>77</v>
      </c>
      <c r="B42" s="303" t="s">
        <v>185</v>
      </c>
      <c r="C42" s="255"/>
      <c r="D42" s="363"/>
      <c r="E42" s="364"/>
      <c r="F42" s="373"/>
      <c r="G42" s="366"/>
      <c r="H42" s="367">
        <f>SUM(H43:H44)</f>
        <v>0</v>
      </c>
      <c r="I42" s="366"/>
      <c r="J42" s="367">
        <f>SUM(J43:J44)</f>
        <v>0</v>
      </c>
      <c r="K42" s="366"/>
      <c r="L42" s="367">
        <f>SUM(L43:L44)</f>
        <v>0</v>
      </c>
      <c r="M42" s="366"/>
      <c r="N42" s="367">
        <f>SUM(N43:N44)</f>
        <v>22912.5</v>
      </c>
      <c r="O42" s="366"/>
      <c r="P42" s="367">
        <f>SUM(P43:P44)</f>
        <v>0</v>
      </c>
      <c r="Q42" s="366"/>
      <c r="R42" s="367">
        <f>SUM(R43:R44)</f>
        <v>0</v>
      </c>
      <c r="S42" s="367">
        <f>SUM(S43:S44)</f>
        <v>22912.5</v>
      </c>
      <c r="T42" s="368"/>
      <c r="U42" s="369"/>
      <c r="V42" s="368"/>
      <c r="W42" s="368"/>
      <c r="X42" s="368"/>
      <c r="Y42" s="368"/>
      <c r="Z42" s="370"/>
      <c r="AA42" s="370"/>
      <c r="AB42" s="390">
        <f t="shared" si="7"/>
        <v>0</v>
      </c>
      <c r="AC42" s="371">
        <f t="shared" si="6"/>
        <v>22912.5</v>
      </c>
    </row>
    <row r="43" spans="1:29" s="441" customFormat="1" ht="27" customHeight="1" x14ac:dyDescent="0.25">
      <c r="A43" s="573" t="s">
        <v>201</v>
      </c>
      <c r="B43" s="454" t="s">
        <v>477</v>
      </c>
      <c r="C43" s="451"/>
      <c r="D43" s="579" t="s">
        <v>106</v>
      </c>
      <c r="E43" s="287">
        <v>1</v>
      </c>
      <c r="F43" s="443">
        <f>'BORDEREAU DES PRIX UNITAIRES'!F194</f>
        <v>17912.5</v>
      </c>
      <c r="G43" s="288"/>
      <c r="H43" s="458">
        <f>+S43*G43</f>
        <v>0</v>
      </c>
      <c r="I43" s="289"/>
      <c r="J43" s="18"/>
      <c r="K43" s="360"/>
      <c r="L43" s="18"/>
      <c r="M43" s="291">
        <v>1</v>
      </c>
      <c r="N43" s="108">
        <f>S43*M43</f>
        <v>17912.5</v>
      </c>
      <c r="O43" s="289"/>
      <c r="P43" s="459">
        <f>+S43*O43</f>
        <v>0</v>
      </c>
      <c r="Q43" s="289"/>
      <c r="R43" s="460">
        <f>+S43*Q43</f>
        <v>0</v>
      </c>
      <c r="S43" s="461">
        <f>+E43*F43</f>
        <v>17912.5</v>
      </c>
      <c r="T43" s="716" t="s">
        <v>121</v>
      </c>
      <c r="U43" s="293" t="s">
        <v>122</v>
      </c>
      <c r="V43" s="575"/>
      <c r="W43" s="292"/>
      <c r="X43" s="292" t="s">
        <v>124</v>
      </c>
      <c r="Y43" s="576" t="s">
        <v>124</v>
      </c>
      <c r="Z43" s="577">
        <v>2</v>
      </c>
      <c r="AA43" s="578">
        <v>21</v>
      </c>
    </row>
    <row r="44" spans="1:29" s="433" customFormat="1" ht="36" customHeight="1" x14ac:dyDescent="0.3">
      <c r="A44" s="573" t="s">
        <v>202</v>
      </c>
      <c r="B44" s="439" t="s">
        <v>271</v>
      </c>
      <c r="C44" s="114"/>
      <c r="D44" s="107" t="s">
        <v>110</v>
      </c>
      <c r="E44" s="107">
        <v>1</v>
      </c>
      <c r="F44" s="395">
        <v>5000</v>
      </c>
      <c r="G44" s="113"/>
      <c r="H44" s="108">
        <f>S44*G44</f>
        <v>0</v>
      </c>
      <c r="I44" s="113"/>
      <c r="J44" s="109">
        <f>+S44*I44</f>
        <v>0</v>
      </c>
      <c r="K44" s="113"/>
      <c r="L44" s="108">
        <f>S44*K44</f>
        <v>0</v>
      </c>
      <c r="M44" s="113">
        <v>1</v>
      </c>
      <c r="N44" s="109">
        <f>+S44*M44</f>
        <v>5000</v>
      </c>
      <c r="O44" s="113"/>
      <c r="P44" s="108"/>
      <c r="Q44" s="113"/>
      <c r="R44" s="109"/>
      <c r="S44" s="109">
        <f>+E44*F44</f>
        <v>5000</v>
      </c>
      <c r="T44" s="111" t="s">
        <v>121</v>
      </c>
      <c r="U44" s="130" t="s">
        <v>135</v>
      </c>
      <c r="V44" s="111"/>
      <c r="W44" s="111"/>
      <c r="X44" s="111" t="s">
        <v>124</v>
      </c>
      <c r="Y44" s="111" t="s">
        <v>124</v>
      </c>
      <c r="Z44" s="115">
        <v>1</v>
      </c>
      <c r="AA44" s="115">
        <v>22</v>
      </c>
      <c r="AB44" s="431">
        <f t="shared" si="7"/>
        <v>0</v>
      </c>
      <c r="AC44" s="432"/>
    </row>
    <row r="45" spans="1:29" s="372" customFormat="1" x14ac:dyDescent="0.3">
      <c r="A45" s="303" t="s">
        <v>78</v>
      </c>
      <c r="B45" s="303" t="s">
        <v>186</v>
      </c>
      <c r="C45" s="255"/>
      <c r="D45" s="363"/>
      <c r="E45" s="374"/>
      <c r="F45" s="375"/>
      <c r="G45" s="366"/>
      <c r="H45" s="367">
        <f>SUM(H46:H47)</f>
        <v>3894.9999999999995</v>
      </c>
      <c r="I45" s="366"/>
      <c r="J45" s="367">
        <f>SUM(J46:J47)</f>
        <v>0</v>
      </c>
      <c r="K45" s="366"/>
      <c r="L45" s="367">
        <f>SUM(L46:L47)</f>
        <v>855</v>
      </c>
      <c r="M45" s="366"/>
      <c r="N45" s="367">
        <f>SUM(N46:N47)</f>
        <v>30000</v>
      </c>
      <c r="O45" s="366"/>
      <c r="P45" s="367">
        <f>SUM(P46:P47)</f>
        <v>0</v>
      </c>
      <c r="Q45" s="366"/>
      <c r="R45" s="367">
        <f>SUM(R46:R47)</f>
        <v>0</v>
      </c>
      <c r="S45" s="367">
        <f>SUM(S46:S47)</f>
        <v>34750</v>
      </c>
      <c r="T45" s="368"/>
      <c r="U45" s="376"/>
      <c r="V45" s="368"/>
      <c r="W45" s="368"/>
      <c r="X45" s="368"/>
      <c r="Y45" s="368"/>
      <c r="Z45" s="377"/>
      <c r="AA45" s="377"/>
      <c r="AB45" s="390">
        <f t="shared" si="7"/>
        <v>0</v>
      </c>
      <c r="AC45" s="371">
        <f t="shared" si="6"/>
        <v>34750</v>
      </c>
    </row>
    <row r="46" spans="1:29" s="433" customFormat="1" ht="22.2" customHeight="1" x14ac:dyDescent="0.3">
      <c r="A46" s="439" t="s">
        <v>203</v>
      </c>
      <c r="B46" s="580" t="s">
        <v>478</v>
      </c>
      <c r="C46" s="21"/>
      <c r="D46" s="21" t="s">
        <v>106</v>
      </c>
      <c r="E46" s="330">
        <v>1</v>
      </c>
      <c r="F46" s="331">
        <f>'BORDEREAU DES PRIX UNITAIRES'!F202</f>
        <v>4750</v>
      </c>
      <c r="G46" s="113">
        <v>0.82</v>
      </c>
      <c r="H46" s="108">
        <f>S46*G46</f>
        <v>3894.9999999999995</v>
      </c>
      <c r="I46" s="113"/>
      <c r="J46" s="109">
        <f>+S46*I46</f>
        <v>0</v>
      </c>
      <c r="K46" s="113">
        <v>0.18</v>
      </c>
      <c r="L46" s="108">
        <f>S46*K46</f>
        <v>855</v>
      </c>
      <c r="M46" s="113"/>
      <c r="N46" s="109">
        <f>+S46*M46</f>
        <v>0</v>
      </c>
      <c r="O46" s="113"/>
      <c r="P46" s="108">
        <f>+S46*O46</f>
        <v>0</v>
      </c>
      <c r="Q46" s="113"/>
      <c r="R46" s="109">
        <f>+S46*Q46</f>
        <v>0</v>
      </c>
      <c r="S46" s="109">
        <f>+E46*F46</f>
        <v>4750</v>
      </c>
      <c r="T46" s="111" t="s">
        <v>127</v>
      </c>
      <c r="U46" s="130" t="s">
        <v>272</v>
      </c>
      <c r="V46" s="111"/>
      <c r="W46" s="111" t="s">
        <v>124</v>
      </c>
      <c r="X46" s="111" t="s">
        <v>124</v>
      </c>
      <c r="Y46" s="111" t="s">
        <v>124</v>
      </c>
      <c r="Z46" s="115">
        <v>2</v>
      </c>
      <c r="AA46" s="115">
        <v>21</v>
      </c>
      <c r="AB46" s="431">
        <f t="shared" si="7"/>
        <v>0</v>
      </c>
      <c r="AC46" s="432">
        <f t="shared" si="6"/>
        <v>4750</v>
      </c>
    </row>
    <row r="47" spans="1:29" s="433" customFormat="1" ht="32.4" customHeight="1" x14ac:dyDescent="0.3">
      <c r="A47" s="439" t="s">
        <v>204</v>
      </c>
      <c r="B47" s="439" t="s">
        <v>486</v>
      </c>
      <c r="C47" s="116"/>
      <c r="D47" s="107" t="s">
        <v>109</v>
      </c>
      <c r="E47" s="447">
        <v>100</v>
      </c>
      <c r="F47" s="331">
        <v>300</v>
      </c>
      <c r="G47" s="113"/>
      <c r="H47" s="108"/>
      <c r="I47" s="113"/>
      <c r="J47" s="109"/>
      <c r="K47" s="113"/>
      <c r="L47" s="108"/>
      <c r="M47" s="113">
        <v>1</v>
      </c>
      <c r="N47" s="109">
        <f>+S47*M47</f>
        <v>30000</v>
      </c>
      <c r="O47" s="113"/>
      <c r="P47" s="108"/>
      <c r="Q47" s="113"/>
      <c r="R47" s="109">
        <f>+S47*Q47</f>
        <v>0</v>
      </c>
      <c r="S47" s="109">
        <f>+E47*F47</f>
        <v>30000</v>
      </c>
      <c r="T47" s="111" t="s">
        <v>121</v>
      </c>
      <c r="U47" s="130" t="s">
        <v>273</v>
      </c>
      <c r="V47" s="111"/>
      <c r="W47" s="111"/>
      <c r="X47" s="111" t="s">
        <v>124</v>
      </c>
      <c r="Y47" s="111" t="s">
        <v>124</v>
      </c>
      <c r="Z47" s="115">
        <v>2</v>
      </c>
      <c r="AA47" s="115">
        <v>21</v>
      </c>
      <c r="AB47" s="431">
        <f t="shared" si="7"/>
        <v>0</v>
      </c>
      <c r="AC47" s="432"/>
    </row>
    <row r="48" spans="1:29" s="322" customFormat="1" x14ac:dyDescent="0.3">
      <c r="A48" s="169" t="s">
        <v>79</v>
      </c>
      <c r="B48" s="169" t="s">
        <v>439</v>
      </c>
      <c r="C48" s="315"/>
      <c r="D48" s="316"/>
      <c r="E48" s="317"/>
      <c r="F48" s="318"/>
      <c r="G48" s="319"/>
      <c r="H48" s="319">
        <f>+H49+H51</f>
        <v>240888</v>
      </c>
      <c r="I48" s="319"/>
      <c r="J48" s="319">
        <f>+J49+J51</f>
        <v>0</v>
      </c>
      <c r="K48" s="320"/>
      <c r="L48" s="319">
        <f>+L49+L51</f>
        <v>3240</v>
      </c>
      <c r="M48" s="319"/>
      <c r="N48" s="300">
        <f>+N49+N51</f>
        <v>0</v>
      </c>
      <c r="O48" s="319"/>
      <c r="P48" s="319">
        <f>+P49+P51</f>
        <v>19324.800000000003</v>
      </c>
      <c r="Q48" s="319"/>
      <c r="R48" s="319">
        <f>+R49+R51</f>
        <v>0</v>
      </c>
      <c r="S48" s="300">
        <f>+S49+S51</f>
        <v>263452.79999999999</v>
      </c>
      <c r="T48" s="717"/>
      <c r="U48" s="300"/>
      <c r="V48" s="300"/>
      <c r="W48" s="300"/>
      <c r="X48" s="300"/>
      <c r="Y48" s="300"/>
      <c r="Z48" s="321"/>
      <c r="AA48" s="321"/>
      <c r="AB48" s="391">
        <f t="shared" si="7"/>
        <v>0</v>
      </c>
      <c r="AC48" s="322">
        <f t="shared" ref="AC48:AC53" si="8">S48-AB48</f>
        <v>263452.79999999999</v>
      </c>
    </row>
    <row r="49" spans="1:37" s="307" customFormat="1" ht="28.8" x14ac:dyDescent="0.3">
      <c r="A49" s="303" t="s">
        <v>80</v>
      </c>
      <c r="B49" s="303" t="s">
        <v>187</v>
      </c>
      <c r="C49" s="201"/>
      <c r="D49" s="304"/>
      <c r="E49" s="305"/>
      <c r="F49" s="298"/>
      <c r="G49" s="302"/>
      <c r="H49" s="298">
        <f>SUM(H50:H50)</f>
        <v>14760</v>
      </c>
      <c r="I49" s="298"/>
      <c r="J49" s="298">
        <f>SUM(J50:J50)</f>
        <v>0</v>
      </c>
      <c r="K49" s="302"/>
      <c r="L49" s="298">
        <f>SUM(L50:L50)</f>
        <v>3240</v>
      </c>
      <c r="M49" s="302"/>
      <c r="N49" s="298">
        <f>SUM(N50:N50)</f>
        <v>0</v>
      </c>
      <c r="O49" s="298"/>
      <c r="P49" s="298">
        <f>SUM(P50:P50)</f>
        <v>0</v>
      </c>
      <c r="Q49" s="302"/>
      <c r="R49" s="298">
        <f>SUM(R50:R50)</f>
        <v>0</v>
      </c>
      <c r="S49" s="298">
        <f>SUM(S50:S50)</f>
        <v>18000</v>
      </c>
      <c r="T49" s="718"/>
      <c r="U49" s="323"/>
      <c r="V49" s="298"/>
      <c r="W49" s="298"/>
      <c r="X49" s="298"/>
      <c r="Y49" s="298"/>
      <c r="Z49" s="203"/>
      <c r="AA49" s="203"/>
      <c r="AB49" s="391">
        <f t="shared" si="7"/>
        <v>0</v>
      </c>
      <c r="AC49" s="307">
        <f t="shared" si="8"/>
        <v>18000</v>
      </c>
    </row>
    <row r="50" spans="1:37" s="87" customFormat="1" ht="28.2" customHeight="1" x14ac:dyDescent="0.3">
      <c r="A50" s="213" t="s">
        <v>603</v>
      </c>
      <c r="B50" s="213" t="s">
        <v>495</v>
      </c>
      <c r="C50" s="114"/>
      <c r="D50" s="107" t="s">
        <v>109</v>
      </c>
      <c r="E50" s="131">
        <v>1</v>
      </c>
      <c r="F50" s="331">
        <v>18000</v>
      </c>
      <c r="G50" s="113">
        <v>0.82</v>
      </c>
      <c r="H50" s="108">
        <f>S50*G50</f>
        <v>14760</v>
      </c>
      <c r="I50" s="113"/>
      <c r="J50" s="109"/>
      <c r="K50" s="113">
        <v>0.18</v>
      </c>
      <c r="L50" s="108">
        <f>S50*K50</f>
        <v>3240</v>
      </c>
      <c r="M50" s="132"/>
      <c r="N50" s="109"/>
      <c r="O50" s="113"/>
      <c r="P50" s="108"/>
      <c r="Q50" s="113"/>
      <c r="R50" s="109"/>
      <c r="S50" s="109">
        <f>+E50*F50</f>
        <v>18000</v>
      </c>
      <c r="T50" s="719" t="s">
        <v>117</v>
      </c>
      <c r="U50" s="120" t="s">
        <v>139</v>
      </c>
      <c r="V50" s="108"/>
      <c r="W50" s="108"/>
      <c r="X50" s="108" t="s">
        <v>124</v>
      </c>
      <c r="Y50" s="108" t="s">
        <v>124</v>
      </c>
      <c r="Z50" s="115">
        <v>1</v>
      </c>
      <c r="AA50" s="115">
        <v>24</v>
      </c>
      <c r="AB50" s="390">
        <f t="shared" si="7"/>
        <v>0</v>
      </c>
      <c r="AC50" s="123"/>
    </row>
    <row r="51" spans="1:37" s="307" customFormat="1" x14ac:dyDescent="0.3">
      <c r="A51" s="303" t="s">
        <v>81</v>
      </c>
      <c r="B51" s="303" t="s">
        <v>188</v>
      </c>
      <c r="C51" s="201"/>
      <c r="D51" s="304"/>
      <c r="E51" s="305"/>
      <c r="F51" s="298"/>
      <c r="G51" s="302"/>
      <c r="H51" s="298">
        <f>SUM(H52:H54)</f>
        <v>226128</v>
      </c>
      <c r="I51" s="298"/>
      <c r="J51" s="298">
        <f>SUM(J52:J54)</f>
        <v>0</v>
      </c>
      <c r="K51" s="302"/>
      <c r="L51" s="298">
        <f>SUM(L52:L54)</f>
        <v>0</v>
      </c>
      <c r="M51" s="302"/>
      <c r="N51" s="298">
        <f>SUM(N52:N54)</f>
        <v>0</v>
      </c>
      <c r="O51" s="298"/>
      <c r="P51" s="298">
        <f>SUM(P52:P54)</f>
        <v>19324.800000000003</v>
      </c>
      <c r="Q51" s="302"/>
      <c r="R51" s="298">
        <f>SUM(R52:R54)</f>
        <v>0</v>
      </c>
      <c r="S51" s="298">
        <f>SUM(S52:S54)</f>
        <v>245452.79999999999</v>
      </c>
      <c r="T51" s="718"/>
      <c r="U51" s="323"/>
      <c r="V51" s="298"/>
      <c r="W51" s="298"/>
      <c r="X51" s="298"/>
      <c r="Y51" s="298"/>
      <c r="Z51" s="203"/>
      <c r="AA51" s="203"/>
      <c r="AB51" s="391">
        <f t="shared" si="7"/>
        <v>0</v>
      </c>
      <c r="AC51" s="307">
        <f t="shared" si="8"/>
        <v>245452.79999999999</v>
      </c>
    </row>
    <row r="52" spans="1:37" s="647" customFormat="1" ht="40.200000000000003" customHeight="1" x14ac:dyDescent="0.3">
      <c r="A52" s="626" t="s">
        <v>205</v>
      </c>
      <c r="B52" s="626" t="s">
        <v>559</v>
      </c>
      <c r="C52" s="628"/>
      <c r="D52" s="627" t="s">
        <v>111</v>
      </c>
      <c r="E52" s="641">
        <v>8</v>
      </c>
      <c r="F52" s="642">
        <f>'BORDEREAU DES PRIX UNITAIRES'!F209</f>
        <v>4016</v>
      </c>
      <c r="G52" s="629">
        <v>1</v>
      </c>
      <c r="H52" s="630">
        <f>S52*G52</f>
        <v>32128</v>
      </c>
      <c r="I52" s="629"/>
      <c r="J52" s="630"/>
      <c r="K52" s="629"/>
      <c r="L52" s="630">
        <f>S52*K52</f>
        <v>0</v>
      </c>
      <c r="M52" s="643"/>
      <c r="N52" s="631">
        <f>+S52*M52</f>
        <v>0</v>
      </c>
      <c r="O52" s="629"/>
      <c r="P52" s="630">
        <f>+S52*O52</f>
        <v>0</v>
      </c>
      <c r="Q52" s="629"/>
      <c r="R52" s="630">
        <f>+S52*Q52</f>
        <v>0</v>
      </c>
      <c r="S52" s="631">
        <f>+E52*F52</f>
        <v>32128</v>
      </c>
      <c r="T52" s="632" t="s">
        <v>117</v>
      </c>
      <c r="U52" s="644" t="s">
        <v>422</v>
      </c>
      <c r="V52" s="632"/>
      <c r="W52" s="632" t="s">
        <v>124</v>
      </c>
      <c r="X52" s="632" t="s">
        <v>124</v>
      </c>
      <c r="Y52" s="632" t="s">
        <v>124</v>
      </c>
      <c r="Z52" s="645">
        <v>5</v>
      </c>
      <c r="AA52" s="645">
        <v>21</v>
      </c>
      <c r="AB52" s="633"/>
      <c r="AC52" s="646"/>
    </row>
    <row r="53" spans="1:37" s="647" customFormat="1" ht="29.4" customHeight="1" x14ac:dyDescent="0.3">
      <c r="A53" s="626" t="s">
        <v>429</v>
      </c>
      <c r="B53" s="626" t="s">
        <v>460</v>
      </c>
      <c r="C53" s="700"/>
      <c r="D53" s="706" t="s">
        <v>111</v>
      </c>
      <c r="E53" s="707">
        <v>12</v>
      </c>
      <c r="F53" s="708">
        <f>(((1100000)+(1100000*0.164)+(15000)+(40000))/1000)+275</f>
        <v>1610.4</v>
      </c>
      <c r="G53" s="629"/>
      <c r="H53" s="630">
        <f>S53*G53</f>
        <v>0</v>
      </c>
      <c r="I53" s="629"/>
      <c r="J53" s="631">
        <f>+S53*I53</f>
        <v>0</v>
      </c>
      <c r="K53" s="629"/>
      <c r="L53" s="630">
        <f>S53*K53</f>
        <v>0</v>
      </c>
      <c r="M53" s="709"/>
      <c r="N53" s="631">
        <f>+S53*M53</f>
        <v>0</v>
      </c>
      <c r="O53" s="629">
        <v>1</v>
      </c>
      <c r="P53" s="630">
        <f>+S53*O53</f>
        <v>19324.800000000003</v>
      </c>
      <c r="Q53" s="629"/>
      <c r="R53" s="631">
        <f>+S53*Q53</f>
        <v>0</v>
      </c>
      <c r="S53" s="631">
        <f>+E53*F53</f>
        <v>19324.800000000003</v>
      </c>
      <c r="T53" s="711" t="s">
        <v>117</v>
      </c>
      <c r="U53" s="702" t="s">
        <v>139</v>
      </c>
      <c r="V53" s="630"/>
      <c r="W53" s="630" t="s">
        <v>124</v>
      </c>
      <c r="X53" s="630" t="s">
        <v>124</v>
      </c>
      <c r="Y53" s="630" t="s">
        <v>124</v>
      </c>
      <c r="Z53" s="703">
        <v>5</v>
      </c>
      <c r="AA53" s="703">
        <v>61</v>
      </c>
      <c r="AB53" s="633">
        <f t="shared" si="7"/>
        <v>0</v>
      </c>
      <c r="AC53" s="646">
        <f t="shared" si="8"/>
        <v>19324.800000000003</v>
      </c>
    </row>
    <row r="54" spans="1:37" s="433" customFormat="1" ht="32.4" customHeight="1" thickBot="1" x14ac:dyDescent="0.35">
      <c r="A54" s="439" t="s">
        <v>206</v>
      </c>
      <c r="B54" s="439" t="s">
        <v>510</v>
      </c>
      <c r="C54" s="586"/>
      <c r="D54" s="21" t="s">
        <v>111</v>
      </c>
      <c r="E54" s="131">
        <v>12</v>
      </c>
      <c r="F54" s="122">
        <f>'BORDEREAU DES PRIX UNITAIRES'!E65</f>
        <v>1324.1666666666667</v>
      </c>
      <c r="G54" s="113">
        <v>1</v>
      </c>
      <c r="H54" s="108">
        <f>S54*G54</f>
        <v>194000</v>
      </c>
      <c r="I54" s="113"/>
      <c r="J54" s="109">
        <f>+S54*I54</f>
        <v>0</v>
      </c>
      <c r="K54" s="113"/>
      <c r="L54" s="108">
        <f>S54*K54</f>
        <v>0</v>
      </c>
      <c r="M54" s="133"/>
      <c r="N54" s="109">
        <f>+S54*M54</f>
        <v>0</v>
      </c>
      <c r="O54" s="113"/>
      <c r="P54" s="108">
        <f>+S54*O54</f>
        <v>0</v>
      </c>
      <c r="Q54" s="113"/>
      <c r="R54" s="109">
        <f>+S54*Q54</f>
        <v>0</v>
      </c>
      <c r="S54" s="109">
        <v>194000</v>
      </c>
      <c r="T54" s="719" t="s">
        <v>117</v>
      </c>
      <c r="U54" s="120" t="s">
        <v>139</v>
      </c>
      <c r="V54" s="108" t="s">
        <v>124</v>
      </c>
      <c r="W54" s="108" t="s">
        <v>124</v>
      </c>
      <c r="X54" s="108" t="s">
        <v>124</v>
      </c>
      <c r="Y54" s="108" t="s">
        <v>124</v>
      </c>
      <c r="Z54" s="112">
        <v>5</v>
      </c>
      <c r="AA54" s="112">
        <v>61</v>
      </c>
      <c r="AB54" s="431">
        <f t="shared" si="7"/>
        <v>0</v>
      </c>
      <c r="AC54" s="432"/>
    </row>
    <row r="55" spans="1:37" s="353" customFormat="1" ht="15" thickBot="1" x14ac:dyDescent="0.35">
      <c r="B55" s="353" t="s">
        <v>24</v>
      </c>
      <c r="H55" s="389">
        <f>+H6+H24+H48</f>
        <v>1004567</v>
      </c>
      <c r="J55" s="353">
        <f>+J6+J24+J48</f>
        <v>10450</v>
      </c>
      <c r="L55" s="389">
        <f>+L6+L24+L48</f>
        <v>282203.13</v>
      </c>
      <c r="N55" s="389">
        <f>+N6+N24+N48</f>
        <v>257762.5</v>
      </c>
      <c r="P55" s="389">
        <f>+P6+P24+P48</f>
        <v>1207531.67</v>
      </c>
      <c r="R55" s="389">
        <f>+R6+R24+R48</f>
        <v>113943.5</v>
      </c>
      <c r="S55" s="496">
        <f>+S6+S24+S48</f>
        <v>2926457.8</v>
      </c>
      <c r="AB55" s="390">
        <f>S55-(P55+N55+L55+J55+H55+R55)</f>
        <v>50000</v>
      </c>
    </row>
    <row r="56" spans="1:37" s="136" customFormat="1" x14ac:dyDescent="0.3">
      <c r="A56" s="135"/>
      <c r="B56" s="214"/>
      <c r="C56" s="214"/>
      <c r="D56" s="215"/>
      <c r="E56" s="216"/>
      <c r="F56" s="217"/>
      <c r="G56" s="218"/>
      <c r="H56" s="219"/>
      <c r="I56" s="219"/>
      <c r="J56" s="220"/>
      <c r="K56" s="220"/>
      <c r="L56" s="220"/>
      <c r="M56" s="220"/>
      <c r="N56" s="220"/>
      <c r="O56" s="220"/>
      <c r="P56" s="220"/>
      <c r="Q56" s="220"/>
      <c r="R56" s="220"/>
      <c r="S56" s="219"/>
      <c r="T56" s="134"/>
      <c r="U56" s="221"/>
      <c r="V56" s="134"/>
      <c r="W56" s="134"/>
      <c r="X56" s="134"/>
      <c r="Y56" s="134"/>
      <c r="Z56" s="135"/>
      <c r="AA56" s="135"/>
      <c r="AB56" s="390"/>
      <c r="AC56" s="222"/>
      <c r="AD56" s="222"/>
      <c r="AE56" s="222"/>
      <c r="AF56" s="222"/>
      <c r="AG56" s="222"/>
      <c r="AH56" s="222"/>
      <c r="AI56" s="222"/>
      <c r="AJ56" s="222"/>
      <c r="AK56" s="222"/>
    </row>
    <row r="57" spans="1:37" s="92" customFormat="1" x14ac:dyDescent="0.3">
      <c r="A57" s="148"/>
      <c r="B57" s="223"/>
      <c r="C57" s="223"/>
      <c r="D57" s="224"/>
      <c r="E57" s="225"/>
      <c r="F57" s="226"/>
      <c r="G57" s="227"/>
      <c r="H57" s="228"/>
      <c r="I57" s="228"/>
      <c r="J57" s="229"/>
      <c r="K57" s="229"/>
      <c r="L57" s="229"/>
      <c r="M57" s="229"/>
      <c r="N57" s="229"/>
      <c r="O57" s="229"/>
      <c r="P57" s="229"/>
      <c r="Q57" s="229"/>
      <c r="R57" s="229"/>
      <c r="S57" s="228"/>
      <c r="T57" s="147"/>
      <c r="U57" s="230"/>
      <c r="V57" s="147"/>
      <c r="W57" s="147"/>
      <c r="X57" s="147"/>
      <c r="Y57" s="147"/>
      <c r="Z57" s="148"/>
      <c r="AA57" s="148"/>
      <c r="AB57" s="390"/>
      <c r="AC57" s="101"/>
      <c r="AD57" s="101"/>
      <c r="AE57" s="101"/>
      <c r="AF57" s="101"/>
      <c r="AG57" s="101"/>
      <c r="AH57" s="101"/>
      <c r="AI57" s="101"/>
      <c r="AJ57" s="101"/>
      <c r="AK57" s="101"/>
    </row>
    <row r="58" spans="1:37" s="92" customFormat="1" x14ac:dyDescent="0.3">
      <c r="A58" s="148"/>
      <c r="B58" s="223"/>
      <c r="C58" s="223"/>
      <c r="D58" s="224"/>
      <c r="E58" s="225"/>
      <c r="F58" s="226"/>
      <c r="G58" s="227"/>
      <c r="H58" s="228"/>
      <c r="I58" s="228"/>
      <c r="J58" s="229"/>
      <c r="K58" s="229"/>
      <c r="L58" s="229"/>
      <c r="M58" s="229"/>
      <c r="N58" s="229"/>
      <c r="O58" s="229"/>
      <c r="P58" s="229"/>
      <c r="Q58" s="229"/>
      <c r="R58" s="229"/>
      <c r="S58" s="228"/>
      <c r="T58" s="147"/>
      <c r="U58" s="230"/>
      <c r="V58" s="147"/>
      <c r="W58" s="147"/>
      <c r="X58" s="147"/>
      <c r="Y58" s="147"/>
      <c r="Z58" s="148"/>
      <c r="AA58" s="148"/>
      <c r="AB58" s="390"/>
      <c r="AC58" s="101"/>
      <c r="AD58" s="101"/>
      <c r="AE58" s="101"/>
      <c r="AF58" s="101"/>
      <c r="AG58" s="101"/>
      <c r="AH58" s="101"/>
      <c r="AI58" s="101"/>
      <c r="AJ58" s="101"/>
      <c r="AK58" s="101"/>
    </row>
    <row r="59" spans="1:37" s="92" customFormat="1" x14ac:dyDescent="0.3">
      <c r="A59" s="148"/>
      <c r="B59" s="223"/>
      <c r="C59" s="223"/>
      <c r="D59" s="224"/>
      <c r="E59" s="225"/>
      <c r="F59" s="226"/>
      <c r="G59" s="227"/>
      <c r="H59" s="228"/>
      <c r="I59" s="228"/>
      <c r="J59" s="229"/>
      <c r="K59" s="229"/>
      <c r="L59" s="229"/>
      <c r="M59" s="229"/>
      <c r="N59" s="229"/>
      <c r="O59" s="229"/>
      <c r="P59" s="229"/>
      <c r="Q59" s="229"/>
      <c r="R59" s="229"/>
      <c r="S59" s="228"/>
      <c r="T59" s="147"/>
      <c r="U59" s="230"/>
      <c r="V59" s="147"/>
      <c r="W59" s="147"/>
      <c r="X59" s="147"/>
      <c r="Y59" s="147"/>
      <c r="Z59" s="148"/>
      <c r="AA59" s="148"/>
      <c r="AB59" s="101"/>
      <c r="AC59" s="101"/>
      <c r="AD59" s="101"/>
      <c r="AE59" s="101"/>
      <c r="AF59" s="101"/>
      <c r="AG59" s="101"/>
      <c r="AH59" s="101"/>
      <c r="AI59" s="101"/>
      <c r="AJ59" s="101"/>
      <c r="AK59" s="101"/>
    </row>
    <row r="60" spans="1:37" s="92" customFormat="1" x14ac:dyDescent="0.3">
      <c r="A60" s="148"/>
      <c r="B60" s="223"/>
      <c r="C60" s="223"/>
      <c r="D60" s="224"/>
      <c r="E60" s="225"/>
      <c r="F60" s="226"/>
      <c r="G60" s="227"/>
      <c r="H60" s="228"/>
      <c r="I60" s="228"/>
      <c r="J60" s="229"/>
      <c r="K60" s="229"/>
      <c r="L60" s="229"/>
      <c r="M60" s="229"/>
      <c r="N60" s="229"/>
      <c r="O60" s="229"/>
      <c r="P60" s="229"/>
      <c r="Q60" s="229"/>
      <c r="R60" s="229"/>
      <c r="S60" s="228"/>
      <c r="T60" s="147"/>
      <c r="U60" s="230"/>
      <c r="V60" s="147"/>
      <c r="W60" s="147"/>
      <c r="X60" s="147"/>
      <c r="Y60" s="147"/>
      <c r="Z60" s="148"/>
      <c r="AA60" s="148"/>
      <c r="AB60" s="101"/>
      <c r="AC60" s="101"/>
      <c r="AD60" s="101"/>
      <c r="AE60" s="101"/>
      <c r="AF60" s="101"/>
      <c r="AG60" s="101"/>
      <c r="AH60" s="101"/>
      <c r="AI60" s="101"/>
      <c r="AJ60" s="101"/>
      <c r="AK60" s="101"/>
    </row>
    <row r="61" spans="1:37" s="92" customFormat="1" x14ac:dyDescent="0.3">
      <c r="A61" s="148"/>
      <c r="B61" s="223"/>
      <c r="C61" s="223"/>
      <c r="D61" s="224"/>
      <c r="E61" s="225"/>
      <c r="F61" s="226"/>
      <c r="G61" s="227"/>
      <c r="H61" s="228"/>
      <c r="I61" s="228"/>
      <c r="J61" s="229"/>
      <c r="K61" s="229"/>
      <c r="L61" s="229"/>
      <c r="M61" s="229"/>
      <c r="N61" s="229"/>
      <c r="O61" s="229"/>
      <c r="P61" s="229"/>
      <c r="Q61" s="229"/>
      <c r="R61" s="229"/>
      <c r="S61" s="228"/>
      <c r="T61" s="147"/>
      <c r="U61" s="230"/>
      <c r="V61" s="147"/>
      <c r="W61" s="147"/>
      <c r="X61" s="147"/>
      <c r="Y61" s="147"/>
      <c r="Z61" s="148"/>
      <c r="AA61" s="148"/>
      <c r="AB61" s="101"/>
      <c r="AC61" s="101"/>
      <c r="AD61" s="101"/>
      <c r="AE61" s="101"/>
      <c r="AF61" s="101"/>
      <c r="AG61" s="101"/>
      <c r="AH61" s="101"/>
      <c r="AI61" s="101"/>
      <c r="AJ61" s="101"/>
      <c r="AK61" s="101"/>
    </row>
    <row r="62" spans="1:37" s="92" customFormat="1" x14ac:dyDescent="0.3">
      <c r="A62" s="148"/>
      <c r="B62" s="223"/>
      <c r="C62" s="223"/>
      <c r="D62" s="224"/>
      <c r="E62" s="225"/>
      <c r="F62" s="226"/>
      <c r="G62" s="227"/>
      <c r="H62" s="228"/>
      <c r="I62" s="228"/>
      <c r="J62" s="229"/>
      <c r="K62" s="229"/>
      <c r="L62" s="229"/>
      <c r="M62" s="229"/>
      <c r="N62" s="229"/>
      <c r="O62" s="229"/>
      <c r="P62" s="229"/>
      <c r="Q62" s="229"/>
      <c r="R62" s="229"/>
      <c r="S62" s="228"/>
      <c r="T62" s="147"/>
      <c r="U62" s="230"/>
      <c r="V62" s="147"/>
      <c r="W62" s="147"/>
      <c r="X62" s="147"/>
      <c r="Y62" s="147"/>
      <c r="Z62" s="148"/>
      <c r="AA62" s="148"/>
      <c r="AB62" s="101"/>
      <c r="AC62" s="101"/>
      <c r="AD62" s="101"/>
      <c r="AE62" s="101"/>
      <c r="AF62" s="101"/>
      <c r="AG62" s="101"/>
      <c r="AH62" s="101"/>
      <c r="AI62" s="101"/>
      <c r="AJ62" s="101"/>
      <c r="AK62" s="101"/>
    </row>
    <row r="63" spans="1:37" s="92" customFormat="1" x14ac:dyDescent="0.3">
      <c r="A63" s="148"/>
      <c r="B63" s="223"/>
      <c r="C63" s="223"/>
      <c r="D63" s="224"/>
      <c r="E63" s="225"/>
      <c r="F63" s="226"/>
      <c r="G63" s="227"/>
      <c r="H63" s="228"/>
      <c r="I63" s="228"/>
      <c r="J63" s="229"/>
      <c r="K63" s="229"/>
      <c r="L63" s="229"/>
      <c r="M63" s="229"/>
      <c r="N63" s="229"/>
      <c r="O63" s="229"/>
      <c r="P63" s="229"/>
      <c r="Q63" s="229"/>
      <c r="R63" s="229"/>
      <c r="S63" s="228"/>
      <c r="T63" s="147"/>
      <c r="U63" s="230"/>
      <c r="V63" s="147"/>
      <c r="W63" s="147"/>
      <c r="X63" s="147"/>
      <c r="Y63" s="147"/>
      <c r="Z63" s="148"/>
      <c r="AA63" s="148"/>
      <c r="AB63" s="101"/>
      <c r="AC63" s="101"/>
      <c r="AD63" s="101"/>
      <c r="AE63" s="101"/>
      <c r="AF63" s="101"/>
      <c r="AG63" s="101"/>
      <c r="AH63" s="101"/>
      <c r="AI63" s="101"/>
      <c r="AJ63" s="101"/>
      <c r="AK63" s="101"/>
    </row>
    <row r="64" spans="1:37" s="92" customFormat="1" x14ac:dyDescent="0.3">
      <c r="A64" s="148"/>
      <c r="B64" s="223"/>
      <c r="C64" s="223"/>
      <c r="D64" s="224"/>
      <c r="E64" s="225"/>
      <c r="F64" s="226"/>
      <c r="G64" s="227"/>
      <c r="H64" s="228"/>
      <c r="I64" s="228"/>
      <c r="J64" s="229"/>
      <c r="K64" s="229"/>
      <c r="L64" s="229"/>
      <c r="M64" s="229"/>
      <c r="N64" s="229"/>
      <c r="O64" s="229"/>
      <c r="P64" s="229"/>
      <c r="Q64" s="229"/>
      <c r="R64" s="229"/>
      <c r="S64" s="228"/>
      <c r="T64" s="147"/>
      <c r="U64" s="230"/>
      <c r="V64" s="147"/>
      <c r="W64" s="147"/>
      <c r="X64" s="147"/>
      <c r="Y64" s="147"/>
      <c r="Z64" s="148"/>
      <c r="AA64" s="148"/>
      <c r="AB64" s="101"/>
      <c r="AC64" s="101"/>
      <c r="AD64" s="101"/>
      <c r="AE64" s="101"/>
      <c r="AF64" s="101"/>
      <c r="AG64" s="101"/>
      <c r="AH64" s="101"/>
      <c r="AI64" s="101"/>
      <c r="AJ64" s="101"/>
      <c r="AK64" s="101"/>
    </row>
    <row r="65" spans="1:37" s="92" customFormat="1" x14ac:dyDescent="0.3">
      <c r="A65" s="148"/>
      <c r="B65" s="223"/>
      <c r="C65" s="223"/>
      <c r="D65" s="224"/>
      <c r="E65" s="225"/>
      <c r="F65" s="226"/>
      <c r="G65" s="227"/>
      <c r="H65" s="228"/>
      <c r="I65" s="228"/>
      <c r="J65" s="229"/>
      <c r="K65" s="229"/>
      <c r="L65" s="229"/>
      <c r="M65" s="229"/>
      <c r="N65" s="229"/>
      <c r="O65" s="229"/>
      <c r="P65" s="229"/>
      <c r="Q65" s="229"/>
      <c r="R65" s="229"/>
      <c r="S65" s="228"/>
      <c r="T65" s="147"/>
      <c r="U65" s="230"/>
      <c r="V65" s="147"/>
      <c r="W65" s="147"/>
      <c r="X65" s="147"/>
      <c r="Y65" s="147"/>
      <c r="Z65" s="148"/>
      <c r="AA65" s="148"/>
      <c r="AB65" s="101"/>
      <c r="AC65" s="101"/>
      <c r="AD65" s="101"/>
      <c r="AE65" s="101"/>
      <c r="AF65" s="101"/>
      <c r="AG65" s="101"/>
      <c r="AH65" s="101"/>
      <c r="AI65" s="101"/>
      <c r="AJ65" s="101"/>
      <c r="AK65" s="101"/>
    </row>
    <row r="66" spans="1:37" s="92" customFormat="1" x14ac:dyDescent="0.3">
      <c r="A66" s="148"/>
      <c r="B66" s="223"/>
      <c r="C66" s="223"/>
      <c r="D66" s="224"/>
      <c r="E66" s="225"/>
      <c r="F66" s="226"/>
      <c r="G66" s="227"/>
      <c r="H66" s="228"/>
      <c r="I66" s="228"/>
      <c r="J66" s="229"/>
      <c r="K66" s="229"/>
      <c r="L66" s="229"/>
      <c r="M66" s="229"/>
      <c r="N66" s="229"/>
      <c r="O66" s="229"/>
      <c r="P66" s="229"/>
      <c r="Q66" s="229"/>
      <c r="R66" s="229"/>
      <c r="S66" s="228"/>
      <c r="T66" s="147"/>
      <c r="U66" s="230"/>
      <c r="V66" s="147"/>
      <c r="W66" s="147"/>
      <c r="X66" s="147"/>
      <c r="Y66" s="147"/>
      <c r="Z66" s="148"/>
      <c r="AA66" s="148"/>
      <c r="AB66" s="101"/>
      <c r="AC66" s="101"/>
      <c r="AD66" s="101"/>
      <c r="AE66" s="101"/>
      <c r="AF66" s="101"/>
      <c r="AG66" s="101"/>
      <c r="AH66" s="101"/>
      <c r="AI66" s="101"/>
      <c r="AJ66" s="101"/>
      <c r="AK66" s="101"/>
    </row>
    <row r="67" spans="1:37" s="92" customFormat="1" x14ac:dyDescent="0.3">
      <c r="A67" s="148"/>
      <c r="B67" s="223"/>
      <c r="C67" s="223"/>
      <c r="D67" s="224"/>
      <c r="E67" s="225"/>
      <c r="F67" s="226"/>
      <c r="G67" s="227"/>
      <c r="H67" s="228"/>
      <c r="I67" s="228"/>
      <c r="J67" s="229"/>
      <c r="K67" s="229"/>
      <c r="L67" s="229"/>
      <c r="M67" s="229"/>
      <c r="N67" s="229"/>
      <c r="O67" s="229"/>
      <c r="P67" s="229"/>
      <c r="Q67" s="229"/>
      <c r="R67" s="229"/>
      <c r="S67" s="228"/>
      <c r="T67" s="147"/>
      <c r="U67" s="230"/>
      <c r="V67" s="147"/>
      <c r="W67" s="147"/>
      <c r="X67" s="147"/>
      <c r="Y67" s="147"/>
      <c r="Z67" s="148"/>
      <c r="AA67" s="148"/>
      <c r="AB67" s="101"/>
      <c r="AC67" s="101"/>
      <c r="AD67" s="101"/>
      <c r="AE67" s="101"/>
      <c r="AF67" s="101"/>
      <c r="AG67" s="101"/>
      <c r="AH67" s="101"/>
      <c r="AI67" s="101"/>
      <c r="AJ67" s="101"/>
      <c r="AK67" s="101"/>
    </row>
    <row r="68" spans="1:37" s="92" customFormat="1" x14ac:dyDescent="0.3">
      <c r="A68" s="148"/>
      <c r="B68" s="223"/>
      <c r="C68" s="223"/>
      <c r="D68" s="224"/>
      <c r="E68" s="225"/>
      <c r="F68" s="226"/>
      <c r="G68" s="227"/>
      <c r="H68" s="228"/>
      <c r="I68" s="228"/>
      <c r="J68" s="229"/>
      <c r="K68" s="229"/>
      <c r="L68" s="229"/>
      <c r="M68" s="229"/>
      <c r="N68" s="229"/>
      <c r="O68" s="229"/>
      <c r="P68" s="229"/>
      <c r="Q68" s="229"/>
      <c r="R68" s="229"/>
      <c r="S68" s="228"/>
      <c r="T68" s="147"/>
      <c r="U68" s="230"/>
      <c r="V68" s="147"/>
      <c r="W68" s="147"/>
      <c r="X68" s="147"/>
      <c r="Y68" s="147"/>
      <c r="Z68" s="148"/>
      <c r="AA68" s="148"/>
      <c r="AB68" s="101"/>
      <c r="AC68" s="101"/>
      <c r="AD68" s="101"/>
      <c r="AE68" s="101"/>
      <c r="AF68" s="101"/>
      <c r="AG68" s="101"/>
      <c r="AH68" s="101"/>
      <c r="AI68" s="101"/>
      <c r="AJ68" s="101"/>
      <c r="AK68" s="101"/>
    </row>
    <row r="69" spans="1:37" s="92" customFormat="1" x14ac:dyDescent="0.3">
      <c r="A69" s="148"/>
      <c r="B69" s="223"/>
      <c r="C69" s="223"/>
      <c r="D69" s="224"/>
      <c r="E69" s="225"/>
      <c r="F69" s="226"/>
      <c r="G69" s="227"/>
      <c r="H69" s="228"/>
      <c r="I69" s="228"/>
      <c r="J69" s="229"/>
      <c r="K69" s="229"/>
      <c r="L69" s="229"/>
      <c r="M69" s="229"/>
      <c r="N69" s="229"/>
      <c r="O69" s="229"/>
      <c r="P69" s="229"/>
      <c r="Q69" s="229"/>
      <c r="R69" s="229"/>
      <c r="S69" s="228"/>
      <c r="T69" s="147"/>
      <c r="U69" s="230"/>
      <c r="V69" s="147"/>
      <c r="W69" s="147"/>
      <c r="X69" s="147"/>
      <c r="Y69" s="147"/>
      <c r="Z69" s="148"/>
      <c r="AA69" s="148"/>
      <c r="AB69" s="101"/>
      <c r="AC69" s="101"/>
      <c r="AD69" s="101"/>
      <c r="AE69" s="101"/>
      <c r="AF69" s="101"/>
      <c r="AG69" s="101"/>
      <c r="AH69" s="101"/>
      <c r="AI69" s="101"/>
      <c r="AJ69" s="101"/>
      <c r="AK69" s="101"/>
    </row>
    <row r="70" spans="1:37" s="92" customFormat="1" x14ac:dyDescent="0.3">
      <c r="A70" s="148"/>
      <c r="B70" s="223"/>
      <c r="C70" s="223"/>
      <c r="D70" s="224"/>
      <c r="E70" s="225"/>
      <c r="F70" s="226"/>
      <c r="G70" s="227"/>
      <c r="H70" s="228"/>
      <c r="I70" s="228"/>
      <c r="J70" s="229"/>
      <c r="K70" s="229"/>
      <c r="L70" s="229"/>
      <c r="M70" s="229"/>
      <c r="N70" s="229"/>
      <c r="O70" s="229"/>
      <c r="P70" s="229"/>
      <c r="Q70" s="229"/>
      <c r="R70" s="229"/>
      <c r="S70" s="228"/>
      <c r="T70" s="147"/>
      <c r="U70" s="230"/>
      <c r="V70" s="147"/>
      <c r="W70" s="147"/>
      <c r="X70" s="147"/>
      <c r="Y70" s="147"/>
      <c r="Z70" s="148"/>
      <c r="AA70" s="148"/>
      <c r="AB70" s="101"/>
      <c r="AC70" s="101"/>
      <c r="AD70" s="101"/>
      <c r="AE70" s="101"/>
      <c r="AF70" s="101"/>
      <c r="AG70" s="101"/>
      <c r="AH70" s="101"/>
      <c r="AI70" s="101"/>
      <c r="AJ70" s="101"/>
      <c r="AK70" s="101"/>
    </row>
    <row r="71" spans="1:37" s="92" customFormat="1" x14ac:dyDescent="0.3">
      <c r="A71" s="148"/>
      <c r="B71" s="223"/>
      <c r="C71" s="223"/>
      <c r="D71" s="224"/>
      <c r="E71" s="225"/>
      <c r="F71" s="226"/>
      <c r="G71" s="227"/>
      <c r="H71" s="228"/>
      <c r="I71" s="228"/>
      <c r="J71" s="229"/>
      <c r="K71" s="229"/>
      <c r="L71" s="229"/>
      <c r="M71" s="229"/>
      <c r="N71" s="229"/>
      <c r="O71" s="229"/>
      <c r="P71" s="229"/>
      <c r="Q71" s="229"/>
      <c r="R71" s="229"/>
      <c r="S71" s="228"/>
      <c r="T71" s="147"/>
      <c r="U71" s="230"/>
      <c r="V71" s="147"/>
      <c r="W71" s="147"/>
      <c r="X71" s="147"/>
      <c r="Y71" s="147"/>
      <c r="Z71" s="148"/>
      <c r="AA71" s="148"/>
      <c r="AB71" s="101"/>
      <c r="AC71" s="101"/>
      <c r="AD71" s="101"/>
      <c r="AE71" s="101"/>
      <c r="AF71" s="101"/>
      <c r="AG71" s="101"/>
      <c r="AH71" s="101"/>
      <c r="AI71" s="101"/>
      <c r="AJ71" s="101"/>
      <c r="AK71" s="101"/>
    </row>
    <row r="72" spans="1:37" s="92" customFormat="1" x14ac:dyDescent="0.3">
      <c r="A72" s="148"/>
      <c r="B72" s="223"/>
      <c r="C72" s="223"/>
      <c r="D72" s="224"/>
      <c r="E72" s="225"/>
      <c r="F72" s="226"/>
      <c r="G72" s="227"/>
      <c r="H72" s="228"/>
      <c r="I72" s="228"/>
      <c r="J72" s="229"/>
      <c r="K72" s="229"/>
      <c r="L72" s="229"/>
      <c r="M72" s="229"/>
      <c r="N72" s="229"/>
      <c r="O72" s="229"/>
      <c r="P72" s="229"/>
      <c r="Q72" s="229"/>
      <c r="R72" s="229"/>
      <c r="S72" s="228"/>
      <c r="T72" s="147"/>
      <c r="U72" s="230"/>
      <c r="V72" s="147"/>
      <c r="W72" s="147"/>
      <c r="X72" s="147"/>
      <c r="Y72" s="147"/>
      <c r="Z72" s="148"/>
      <c r="AA72" s="148"/>
      <c r="AB72" s="101"/>
      <c r="AC72" s="101"/>
      <c r="AD72" s="101"/>
      <c r="AE72" s="101"/>
      <c r="AF72" s="101"/>
      <c r="AG72" s="101"/>
      <c r="AH72" s="101"/>
      <c r="AI72" s="101"/>
      <c r="AJ72" s="101"/>
      <c r="AK72" s="101"/>
    </row>
    <row r="73" spans="1:37" s="92" customFormat="1" x14ac:dyDescent="0.3">
      <c r="A73" s="148"/>
      <c r="B73" s="223"/>
      <c r="C73" s="223"/>
      <c r="D73" s="224"/>
      <c r="E73" s="225"/>
      <c r="F73" s="226"/>
      <c r="G73" s="227"/>
      <c r="H73" s="228"/>
      <c r="I73" s="228"/>
      <c r="J73" s="229"/>
      <c r="K73" s="229"/>
      <c r="L73" s="229"/>
      <c r="M73" s="229"/>
      <c r="N73" s="229"/>
      <c r="O73" s="229"/>
      <c r="P73" s="229"/>
      <c r="Q73" s="229"/>
      <c r="R73" s="229"/>
      <c r="S73" s="228"/>
      <c r="T73" s="147"/>
      <c r="U73" s="230"/>
      <c r="V73" s="147"/>
      <c r="W73" s="147"/>
      <c r="X73" s="147"/>
      <c r="Y73" s="147"/>
      <c r="Z73" s="148"/>
      <c r="AA73" s="148"/>
      <c r="AB73" s="101"/>
      <c r="AC73" s="101"/>
      <c r="AD73" s="101"/>
      <c r="AE73" s="101"/>
      <c r="AF73" s="101"/>
      <c r="AG73" s="101"/>
      <c r="AH73" s="101"/>
      <c r="AI73" s="101"/>
      <c r="AJ73" s="101"/>
      <c r="AK73" s="101"/>
    </row>
    <row r="74" spans="1:37" s="92" customFormat="1" x14ac:dyDescent="0.3">
      <c r="A74" s="148"/>
      <c r="B74" s="223"/>
      <c r="C74" s="223"/>
      <c r="D74" s="224"/>
      <c r="E74" s="225"/>
      <c r="F74" s="226"/>
      <c r="G74" s="227"/>
      <c r="H74" s="228"/>
      <c r="I74" s="228"/>
      <c r="J74" s="229"/>
      <c r="K74" s="229"/>
      <c r="L74" s="229"/>
      <c r="M74" s="229"/>
      <c r="N74" s="229">
        <f>555*35</f>
        <v>19425</v>
      </c>
      <c r="O74" s="229"/>
      <c r="P74" s="229"/>
      <c r="Q74" s="229"/>
      <c r="R74" s="229"/>
      <c r="S74" s="228"/>
      <c r="T74" s="147"/>
      <c r="U74" s="230"/>
      <c r="V74" s="147"/>
      <c r="W74" s="147"/>
      <c r="X74" s="147"/>
      <c r="Y74" s="147"/>
      <c r="Z74" s="148"/>
      <c r="AA74" s="148"/>
      <c r="AB74" s="101"/>
      <c r="AC74" s="101"/>
      <c r="AD74" s="101"/>
      <c r="AE74" s="101"/>
      <c r="AF74" s="101"/>
      <c r="AG74" s="101"/>
      <c r="AH74" s="101"/>
      <c r="AI74" s="101"/>
      <c r="AJ74" s="101"/>
      <c r="AK74" s="101"/>
    </row>
    <row r="75" spans="1:37" s="92" customFormat="1" x14ac:dyDescent="0.3">
      <c r="A75" s="148"/>
      <c r="B75" s="223"/>
      <c r="C75" s="223"/>
      <c r="D75" s="224"/>
      <c r="E75" s="225"/>
      <c r="F75" s="226"/>
      <c r="G75" s="227"/>
      <c r="H75" s="228"/>
      <c r="I75" s="228"/>
      <c r="J75" s="229"/>
      <c r="K75" s="229"/>
      <c r="L75" s="229"/>
      <c r="M75" s="229"/>
      <c r="N75" s="229"/>
      <c r="O75" s="229"/>
      <c r="P75" s="229"/>
      <c r="Q75" s="229"/>
      <c r="R75" s="229"/>
      <c r="S75" s="228"/>
      <c r="T75" s="147"/>
      <c r="U75" s="230"/>
      <c r="V75" s="147"/>
      <c r="W75" s="147"/>
      <c r="X75" s="147"/>
      <c r="Y75" s="147"/>
      <c r="Z75" s="148"/>
      <c r="AA75" s="148"/>
      <c r="AB75" s="101"/>
      <c r="AC75" s="101"/>
      <c r="AD75" s="101"/>
      <c r="AE75" s="101"/>
      <c r="AF75" s="101"/>
      <c r="AG75" s="101"/>
      <c r="AH75" s="101"/>
      <c r="AI75" s="101"/>
      <c r="AJ75" s="101"/>
      <c r="AK75" s="101"/>
    </row>
    <row r="76" spans="1:37" s="92" customFormat="1" x14ac:dyDescent="0.3">
      <c r="A76" s="148"/>
      <c r="B76" s="223"/>
      <c r="C76" s="223"/>
      <c r="D76" s="224"/>
      <c r="E76" s="225"/>
      <c r="F76" s="226"/>
      <c r="G76" s="227"/>
      <c r="H76" s="228"/>
      <c r="I76" s="228"/>
      <c r="J76" s="229"/>
      <c r="K76" s="229"/>
      <c r="L76" s="229"/>
      <c r="M76" s="229"/>
      <c r="N76" s="229"/>
      <c r="O76" s="229"/>
      <c r="P76" s="229"/>
      <c r="Q76" s="229"/>
      <c r="R76" s="229"/>
      <c r="S76" s="228"/>
      <c r="T76" s="147"/>
      <c r="U76" s="230"/>
      <c r="V76" s="147"/>
      <c r="W76" s="147"/>
      <c r="X76" s="147"/>
      <c r="Y76" s="147"/>
      <c r="Z76" s="148"/>
      <c r="AA76" s="148"/>
      <c r="AB76" s="101"/>
      <c r="AC76" s="101"/>
      <c r="AD76" s="101"/>
      <c r="AE76" s="101"/>
      <c r="AF76" s="101"/>
      <c r="AG76" s="101"/>
      <c r="AH76" s="101"/>
      <c r="AI76" s="101"/>
      <c r="AJ76" s="101"/>
      <c r="AK76" s="101"/>
    </row>
    <row r="77" spans="1:37" s="92" customFormat="1" x14ac:dyDescent="0.3">
      <c r="A77" s="148"/>
      <c r="B77" s="223"/>
      <c r="C77" s="223"/>
      <c r="D77" s="224"/>
      <c r="E77" s="225"/>
      <c r="F77" s="226"/>
      <c r="G77" s="227"/>
      <c r="H77" s="228"/>
      <c r="I77" s="228"/>
      <c r="J77" s="229"/>
      <c r="K77" s="229"/>
      <c r="L77" s="229"/>
      <c r="M77" s="229"/>
      <c r="N77" s="229"/>
      <c r="O77" s="229"/>
      <c r="P77" s="229"/>
      <c r="Q77" s="229"/>
      <c r="R77" s="229"/>
      <c r="S77" s="228"/>
      <c r="T77" s="147"/>
      <c r="U77" s="230"/>
      <c r="V77" s="147"/>
      <c r="W77" s="147"/>
      <c r="X77" s="147"/>
      <c r="Y77" s="147"/>
      <c r="Z77" s="148"/>
      <c r="AA77" s="148"/>
      <c r="AB77" s="101"/>
      <c r="AC77" s="101"/>
      <c r="AD77" s="101"/>
      <c r="AE77" s="101"/>
      <c r="AF77" s="101"/>
      <c r="AG77" s="101"/>
      <c r="AH77" s="101"/>
      <c r="AI77" s="101"/>
      <c r="AJ77" s="101"/>
      <c r="AK77" s="101"/>
    </row>
    <row r="78" spans="1:37" s="92" customFormat="1" x14ac:dyDescent="0.3">
      <c r="A78" s="148"/>
      <c r="B78" s="223"/>
      <c r="C78" s="223"/>
      <c r="D78" s="224"/>
      <c r="E78" s="225"/>
      <c r="F78" s="226"/>
      <c r="G78" s="227"/>
      <c r="H78" s="228"/>
      <c r="I78" s="228"/>
      <c r="J78" s="229"/>
      <c r="K78" s="229"/>
      <c r="L78" s="229"/>
      <c r="M78" s="229"/>
      <c r="N78" s="229"/>
      <c r="O78" s="229"/>
      <c r="P78" s="229"/>
      <c r="Q78" s="229"/>
      <c r="R78" s="229"/>
      <c r="S78" s="228"/>
      <c r="T78" s="147"/>
      <c r="U78" s="230"/>
      <c r="V78" s="147"/>
      <c r="W78" s="147"/>
      <c r="X78" s="147"/>
      <c r="Y78" s="147"/>
      <c r="Z78" s="148"/>
      <c r="AA78" s="148"/>
      <c r="AB78" s="101"/>
      <c r="AC78" s="101"/>
      <c r="AD78" s="101"/>
      <c r="AE78" s="101"/>
      <c r="AF78" s="101"/>
      <c r="AG78" s="101"/>
      <c r="AH78" s="101"/>
      <c r="AI78" s="101"/>
      <c r="AJ78" s="101"/>
      <c r="AK78" s="101"/>
    </row>
    <row r="79" spans="1:37" s="92" customFormat="1" x14ac:dyDescent="0.3">
      <c r="A79" s="148"/>
      <c r="B79" s="223"/>
      <c r="C79" s="223"/>
      <c r="D79" s="224"/>
      <c r="E79" s="225"/>
      <c r="F79" s="226"/>
      <c r="G79" s="227"/>
      <c r="H79" s="228"/>
      <c r="I79" s="228"/>
      <c r="J79" s="229"/>
      <c r="K79" s="229"/>
      <c r="L79" s="229"/>
      <c r="M79" s="229"/>
      <c r="N79" s="229"/>
      <c r="O79" s="229"/>
      <c r="P79" s="229"/>
      <c r="Q79" s="229"/>
      <c r="R79" s="229"/>
      <c r="S79" s="228"/>
      <c r="T79" s="147"/>
      <c r="U79" s="230"/>
      <c r="V79" s="147"/>
      <c r="W79" s="147"/>
      <c r="X79" s="147"/>
      <c r="Y79" s="147"/>
      <c r="Z79" s="148"/>
      <c r="AA79" s="148"/>
      <c r="AB79" s="101"/>
      <c r="AC79" s="101"/>
      <c r="AD79" s="101"/>
      <c r="AE79" s="101"/>
      <c r="AF79" s="101"/>
      <c r="AG79" s="101"/>
      <c r="AH79" s="101"/>
      <c r="AI79" s="101"/>
      <c r="AJ79" s="101"/>
      <c r="AK79" s="101"/>
    </row>
    <row r="80" spans="1:37" s="92" customFormat="1" x14ac:dyDescent="0.3">
      <c r="A80" s="148"/>
      <c r="B80" s="223"/>
      <c r="C80" s="223"/>
      <c r="D80" s="224"/>
      <c r="E80" s="225"/>
      <c r="F80" s="226"/>
      <c r="G80" s="227"/>
      <c r="H80" s="228"/>
      <c r="I80" s="228"/>
      <c r="J80" s="229"/>
      <c r="K80" s="229"/>
      <c r="L80" s="229"/>
      <c r="M80" s="229"/>
      <c r="N80" s="229"/>
      <c r="O80" s="229"/>
      <c r="P80" s="229"/>
      <c r="Q80" s="229"/>
      <c r="R80" s="229"/>
      <c r="S80" s="228"/>
      <c r="T80" s="147"/>
      <c r="U80" s="230"/>
      <c r="V80" s="147"/>
      <c r="W80" s="147"/>
      <c r="X80" s="147"/>
      <c r="Y80" s="147"/>
      <c r="Z80" s="148"/>
      <c r="AA80" s="148"/>
      <c r="AB80" s="101"/>
      <c r="AC80" s="101"/>
      <c r="AD80" s="101"/>
      <c r="AE80" s="101"/>
      <c r="AF80" s="101"/>
      <c r="AG80" s="101"/>
      <c r="AH80" s="101"/>
      <c r="AI80" s="101"/>
      <c r="AJ80" s="101"/>
      <c r="AK80" s="101"/>
    </row>
    <row r="81" spans="1:37" s="92" customFormat="1" x14ac:dyDescent="0.3">
      <c r="A81" s="148"/>
      <c r="B81" s="223"/>
      <c r="C81" s="223"/>
      <c r="D81" s="224"/>
      <c r="E81" s="225"/>
      <c r="F81" s="226"/>
      <c r="G81" s="227"/>
      <c r="H81" s="228"/>
      <c r="I81" s="228"/>
      <c r="J81" s="229"/>
      <c r="K81" s="229"/>
      <c r="L81" s="229"/>
      <c r="M81" s="229"/>
      <c r="N81" s="229"/>
      <c r="O81" s="229"/>
      <c r="P81" s="229"/>
      <c r="Q81" s="229"/>
      <c r="R81" s="229"/>
      <c r="S81" s="228"/>
      <c r="T81" s="147"/>
      <c r="U81" s="230"/>
      <c r="V81" s="147"/>
      <c r="W81" s="147"/>
      <c r="X81" s="147"/>
      <c r="Y81" s="147"/>
      <c r="Z81" s="148"/>
      <c r="AA81" s="148"/>
      <c r="AB81" s="101"/>
      <c r="AC81" s="101"/>
      <c r="AD81" s="101"/>
      <c r="AE81" s="101"/>
      <c r="AF81" s="101"/>
      <c r="AG81" s="101"/>
      <c r="AH81" s="101"/>
      <c r="AI81" s="101"/>
      <c r="AJ81" s="101"/>
      <c r="AK81" s="101"/>
    </row>
    <row r="82" spans="1:37" s="92" customFormat="1" x14ac:dyDescent="0.3">
      <c r="A82" s="148"/>
      <c r="B82" s="223"/>
      <c r="C82" s="223"/>
      <c r="D82" s="224"/>
      <c r="E82" s="225"/>
      <c r="F82" s="226"/>
      <c r="G82" s="227"/>
      <c r="H82" s="228"/>
      <c r="I82" s="228"/>
      <c r="J82" s="229"/>
      <c r="K82" s="229"/>
      <c r="L82" s="229"/>
      <c r="M82" s="229"/>
      <c r="N82" s="229"/>
      <c r="O82" s="229"/>
      <c r="P82" s="229"/>
      <c r="Q82" s="229"/>
      <c r="R82" s="229"/>
      <c r="S82" s="228"/>
      <c r="T82" s="147"/>
      <c r="U82" s="230"/>
      <c r="V82" s="147"/>
      <c r="W82" s="147"/>
      <c r="X82" s="147"/>
      <c r="Y82" s="147"/>
      <c r="Z82" s="148"/>
      <c r="AA82" s="148"/>
      <c r="AB82" s="101"/>
      <c r="AC82" s="101"/>
      <c r="AD82" s="101"/>
      <c r="AE82" s="101"/>
      <c r="AF82" s="101"/>
      <c r="AG82" s="101"/>
      <c r="AH82" s="101"/>
      <c r="AI82" s="101"/>
      <c r="AJ82" s="101"/>
      <c r="AK82" s="101"/>
    </row>
    <row r="83" spans="1:37" s="92" customFormat="1" x14ac:dyDescent="0.3">
      <c r="A83" s="148"/>
      <c r="B83" s="223"/>
      <c r="C83" s="223"/>
      <c r="D83" s="224"/>
      <c r="E83" s="225"/>
      <c r="F83" s="226"/>
      <c r="G83" s="227"/>
      <c r="H83" s="228"/>
      <c r="I83" s="228"/>
      <c r="J83" s="229"/>
      <c r="K83" s="229"/>
      <c r="L83" s="229"/>
      <c r="M83" s="229"/>
      <c r="N83" s="229"/>
      <c r="O83" s="229"/>
      <c r="P83" s="229"/>
      <c r="Q83" s="229"/>
      <c r="R83" s="229"/>
      <c r="S83" s="228"/>
      <c r="T83" s="147"/>
      <c r="U83" s="230"/>
      <c r="V83" s="147"/>
      <c r="W83" s="147"/>
      <c r="X83" s="147"/>
      <c r="Y83" s="147"/>
      <c r="Z83" s="148"/>
      <c r="AA83" s="148"/>
      <c r="AB83" s="101"/>
      <c r="AC83" s="101"/>
      <c r="AD83" s="101"/>
      <c r="AE83" s="101"/>
      <c r="AF83" s="101"/>
      <c r="AG83" s="101"/>
      <c r="AH83" s="101"/>
      <c r="AI83" s="101"/>
      <c r="AJ83" s="101"/>
      <c r="AK83" s="101"/>
    </row>
    <row r="84" spans="1:37" s="92" customFormat="1" x14ac:dyDescent="0.3">
      <c r="A84" s="148"/>
      <c r="B84" s="223"/>
      <c r="C84" s="223"/>
      <c r="D84" s="224"/>
      <c r="E84" s="225"/>
      <c r="F84" s="226"/>
      <c r="G84" s="227"/>
      <c r="H84" s="228"/>
      <c r="I84" s="228"/>
      <c r="J84" s="229"/>
      <c r="K84" s="229"/>
      <c r="L84" s="229"/>
      <c r="M84" s="229"/>
      <c r="N84" s="229"/>
      <c r="O84" s="229"/>
      <c r="P84" s="229"/>
      <c r="Q84" s="229"/>
      <c r="R84" s="229"/>
      <c r="S84" s="228"/>
      <c r="T84" s="147"/>
      <c r="U84" s="230"/>
      <c r="V84" s="147"/>
      <c r="W84" s="147"/>
      <c r="X84" s="147"/>
      <c r="Y84" s="147"/>
      <c r="Z84" s="148"/>
      <c r="AA84" s="148"/>
      <c r="AB84" s="101"/>
      <c r="AC84" s="101"/>
      <c r="AD84" s="101"/>
      <c r="AE84" s="101"/>
      <c r="AF84" s="101"/>
      <c r="AG84" s="101"/>
      <c r="AH84" s="101"/>
      <c r="AI84" s="101"/>
      <c r="AJ84" s="101"/>
      <c r="AK84" s="101"/>
    </row>
    <row r="85" spans="1:37" s="92" customFormat="1" x14ac:dyDescent="0.3">
      <c r="A85" s="148"/>
      <c r="B85" s="223"/>
      <c r="C85" s="223"/>
      <c r="D85" s="224"/>
      <c r="E85" s="225"/>
      <c r="F85" s="226"/>
      <c r="G85" s="227"/>
      <c r="H85" s="228"/>
      <c r="I85" s="228"/>
      <c r="J85" s="229"/>
      <c r="K85" s="229"/>
      <c r="L85" s="229"/>
      <c r="M85" s="229"/>
      <c r="N85" s="229"/>
      <c r="O85" s="229"/>
      <c r="P85" s="229"/>
      <c r="Q85" s="229"/>
      <c r="R85" s="229"/>
      <c r="S85" s="228"/>
      <c r="T85" s="147"/>
      <c r="U85" s="230"/>
      <c r="V85" s="147"/>
      <c r="W85" s="147"/>
      <c r="X85" s="147"/>
      <c r="Y85" s="147"/>
      <c r="Z85" s="148"/>
      <c r="AA85" s="148"/>
      <c r="AB85" s="101"/>
      <c r="AC85" s="101"/>
      <c r="AD85" s="101"/>
      <c r="AE85" s="101"/>
      <c r="AF85" s="101"/>
      <c r="AG85" s="101"/>
      <c r="AH85" s="101"/>
      <c r="AI85" s="101"/>
      <c r="AJ85" s="101"/>
      <c r="AK85" s="101"/>
    </row>
    <row r="86" spans="1:37" s="92" customFormat="1" x14ac:dyDescent="0.3">
      <c r="A86" s="148"/>
      <c r="B86" s="223"/>
      <c r="C86" s="223"/>
      <c r="D86" s="224"/>
      <c r="E86" s="225"/>
      <c r="F86" s="226"/>
      <c r="G86" s="227"/>
      <c r="H86" s="228"/>
      <c r="I86" s="228"/>
      <c r="J86" s="229"/>
      <c r="K86" s="229"/>
      <c r="L86" s="229"/>
      <c r="M86" s="229"/>
      <c r="N86" s="229"/>
      <c r="O86" s="229"/>
      <c r="P86" s="229"/>
      <c r="Q86" s="229"/>
      <c r="R86" s="229"/>
      <c r="S86" s="228"/>
      <c r="T86" s="147"/>
      <c r="U86" s="230"/>
      <c r="V86" s="147"/>
      <c r="W86" s="147"/>
      <c r="X86" s="147"/>
      <c r="Y86" s="147"/>
      <c r="Z86" s="148"/>
      <c r="AA86" s="148"/>
      <c r="AB86" s="101"/>
      <c r="AC86" s="101"/>
      <c r="AD86" s="101"/>
      <c r="AE86" s="101"/>
      <c r="AF86" s="101"/>
      <c r="AG86" s="101"/>
      <c r="AH86" s="101"/>
      <c r="AI86" s="101"/>
      <c r="AJ86" s="101"/>
      <c r="AK86" s="101"/>
    </row>
    <row r="87" spans="1:37" s="92" customFormat="1" x14ac:dyDescent="0.3">
      <c r="A87" s="148"/>
      <c r="B87" s="223"/>
      <c r="C87" s="223"/>
      <c r="D87" s="224"/>
      <c r="E87" s="225"/>
      <c r="F87" s="226"/>
      <c r="G87" s="227"/>
      <c r="H87" s="228"/>
      <c r="I87" s="228"/>
      <c r="J87" s="229"/>
      <c r="K87" s="229"/>
      <c r="L87" s="229"/>
      <c r="M87" s="229"/>
      <c r="N87" s="229"/>
      <c r="O87" s="229"/>
      <c r="P87" s="229"/>
      <c r="Q87" s="229"/>
      <c r="R87" s="229"/>
      <c r="S87" s="228"/>
      <c r="T87" s="147"/>
      <c r="U87" s="230"/>
      <c r="V87" s="147"/>
      <c r="W87" s="147"/>
      <c r="X87" s="147"/>
      <c r="Y87" s="147"/>
      <c r="Z87" s="148"/>
      <c r="AA87" s="148"/>
      <c r="AB87" s="101"/>
      <c r="AC87" s="101"/>
      <c r="AD87" s="101"/>
      <c r="AE87" s="101"/>
      <c r="AF87" s="101"/>
      <c r="AG87" s="101"/>
      <c r="AH87" s="101"/>
      <c r="AI87" s="101"/>
      <c r="AJ87" s="101"/>
      <c r="AK87" s="101"/>
    </row>
    <row r="88" spans="1:37" s="92" customFormat="1" x14ac:dyDescent="0.3">
      <c r="A88" s="148"/>
      <c r="B88" s="223"/>
      <c r="C88" s="223"/>
      <c r="D88" s="224"/>
      <c r="E88" s="225"/>
      <c r="F88" s="226"/>
      <c r="G88" s="227"/>
      <c r="H88" s="228"/>
      <c r="I88" s="228"/>
      <c r="J88" s="229"/>
      <c r="K88" s="229"/>
      <c r="L88" s="229"/>
      <c r="M88" s="229"/>
      <c r="N88" s="229"/>
      <c r="O88" s="229"/>
      <c r="P88" s="229"/>
      <c r="Q88" s="229"/>
      <c r="R88" s="229"/>
      <c r="S88" s="228"/>
      <c r="T88" s="147"/>
      <c r="U88" s="230"/>
      <c r="V88" s="147"/>
      <c r="W88" s="147"/>
      <c r="X88" s="147"/>
      <c r="Y88" s="147"/>
      <c r="Z88" s="148"/>
      <c r="AA88" s="148"/>
      <c r="AB88" s="101"/>
      <c r="AC88" s="101"/>
      <c r="AD88" s="101"/>
      <c r="AE88" s="101"/>
      <c r="AF88" s="101"/>
      <c r="AG88" s="101"/>
      <c r="AH88" s="101"/>
      <c r="AI88" s="101"/>
      <c r="AJ88" s="101"/>
      <c r="AK88" s="101"/>
    </row>
    <row r="89" spans="1:37" s="92" customFormat="1" x14ac:dyDescent="0.3">
      <c r="A89" s="148"/>
      <c r="B89" s="223"/>
      <c r="C89" s="223"/>
      <c r="D89" s="224"/>
      <c r="E89" s="225"/>
      <c r="F89" s="226"/>
      <c r="G89" s="227"/>
      <c r="H89" s="228"/>
      <c r="I89" s="228"/>
      <c r="J89" s="229"/>
      <c r="K89" s="229"/>
      <c r="L89" s="229"/>
      <c r="M89" s="229"/>
      <c r="N89" s="229"/>
      <c r="O89" s="229"/>
      <c r="P89" s="229"/>
      <c r="Q89" s="229"/>
      <c r="R89" s="229"/>
      <c r="S89" s="228"/>
      <c r="T89" s="147"/>
      <c r="U89" s="230"/>
      <c r="V89" s="147"/>
      <c r="W89" s="147"/>
      <c r="X89" s="147"/>
      <c r="Y89" s="147"/>
      <c r="Z89" s="148"/>
      <c r="AA89" s="148"/>
      <c r="AB89" s="101"/>
      <c r="AC89" s="101"/>
      <c r="AD89" s="101"/>
      <c r="AE89" s="101"/>
      <c r="AF89" s="101"/>
      <c r="AG89" s="101"/>
      <c r="AH89" s="101"/>
      <c r="AI89" s="101"/>
      <c r="AJ89" s="101"/>
      <c r="AK89" s="101"/>
    </row>
    <row r="90" spans="1:37" s="92" customFormat="1" x14ac:dyDescent="0.3">
      <c r="A90" s="148"/>
      <c r="B90" s="223"/>
      <c r="C90" s="223"/>
      <c r="D90" s="224"/>
      <c r="E90" s="225"/>
      <c r="F90" s="226"/>
      <c r="G90" s="227"/>
      <c r="H90" s="228"/>
      <c r="I90" s="228"/>
      <c r="J90" s="229"/>
      <c r="K90" s="229"/>
      <c r="L90" s="229"/>
      <c r="M90" s="229"/>
      <c r="N90" s="229"/>
      <c r="O90" s="229"/>
      <c r="P90" s="229"/>
      <c r="Q90" s="229"/>
      <c r="R90" s="229"/>
      <c r="S90" s="228"/>
      <c r="T90" s="147"/>
      <c r="U90" s="230"/>
      <c r="V90" s="147"/>
      <c r="W90" s="147"/>
      <c r="X90" s="147"/>
      <c r="Y90" s="147"/>
      <c r="Z90" s="148"/>
      <c r="AA90" s="148"/>
      <c r="AB90" s="101"/>
      <c r="AC90" s="101"/>
      <c r="AD90" s="101"/>
      <c r="AE90" s="101"/>
      <c r="AF90" s="101"/>
      <c r="AG90" s="101"/>
      <c r="AH90" s="101"/>
      <c r="AI90" s="101"/>
      <c r="AJ90" s="101"/>
      <c r="AK90" s="101"/>
    </row>
    <row r="91" spans="1:37" s="92" customFormat="1" x14ac:dyDescent="0.3">
      <c r="A91" s="148"/>
      <c r="B91" s="223"/>
      <c r="C91" s="223"/>
      <c r="D91" s="224"/>
      <c r="E91" s="225"/>
      <c r="F91" s="226"/>
      <c r="G91" s="227"/>
      <c r="H91" s="228"/>
      <c r="I91" s="228"/>
      <c r="J91" s="229"/>
      <c r="K91" s="229"/>
      <c r="L91" s="229"/>
      <c r="M91" s="229"/>
      <c r="N91" s="229"/>
      <c r="O91" s="229"/>
      <c r="P91" s="229"/>
      <c r="Q91" s="229"/>
      <c r="R91" s="229"/>
      <c r="S91" s="228"/>
      <c r="T91" s="147"/>
      <c r="U91" s="230"/>
      <c r="V91" s="147"/>
      <c r="W91" s="147"/>
      <c r="X91" s="147"/>
      <c r="Y91" s="147"/>
      <c r="Z91" s="148"/>
      <c r="AA91" s="148"/>
      <c r="AB91" s="101"/>
      <c r="AC91" s="101"/>
      <c r="AD91" s="101"/>
      <c r="AE91" s="101"/>
      <c r="AF91" s="101"/>
      <c r="AG91" s="101"/>
      <c r="AH91" s="101"/>
      <c r="AI91" s="101"/>
      <c r="AJ91" s="101"/>
      <c r="AK91" s="101"/>
    </row>
    <row r="92" spans="1:37" s="92" customFormat="1" x14ac:dyDescent="0.3">
      <c r="A92" s="148"/>
      <c r="B92" s="223"/>
      <c r="C92" s="223"/>
      <c r="D92" s="224"/>
      <c r="E92" s="225"/>
      <c r="F92" s="226"/>
      <c r="G92" s="227"/>
      <c r="H92" s="228"/>
      <c r="I92" s="228"/>
      <c r="J92" s="229"/>
      <c r="K92" s="229"/>
      <c r="L92" s="229"/>
      <c r="M92" s="229"/>
      <c r="N92" s="229"/>
      <c r="O92" s="229"/>
      <c r="P92" s="229"/>
      <c r="Q92" s="229"/>
      <c r="R92" s="229"/>
      <c r="S92" s="228"/>
      <c r="T92" s="147"/>
      <c r="U92" s="230"/>
      <c r="V92" s="147"/>
      <c r="W92" s="147"/>
      <c r="X92" s="147"/>
      <c r="Y92" s="147"/>
      <c r="Z92" s="148"/>
      <c r="AA92" s="148"/>
      <c r="AB92" s="101"/>
      <c r="AC92" s="101"/>
      <c r="AD92" s="101"/>
      <c r="AE92" s="101"/>
      <c r="AF92" s="101"/>
      <c r="AG92" s="101"/>
      <c r="AH92" s="101"/>
      <c r="AI92" s="101"/>
      <c r="AJ92" s="101"/>
      <c r="AK92" s="101"/>
    </row>
    <row r="93" spans="1:37" s="92" customFormat="1" x14ac:dyDescent="0.3">
      <c r="A93" s="148"/>
      <c r="B93" s="223"/>
      <c r="C93" s="223"/>
      <c r="D93" s="224"/>
      <c r="E93" s="225"/>
      <c r="F93" s="226"/>
      <c r="G93" s="227"/>
      <c r="H93" s="228"/>
      <c r="I93" s="228"/>
      <c r="J93" s="229"/>
      <c r="K93" s="229"/>
      <c r="L93" s="229"/>
      <c r="M93" s="229"/>
      <c r="N93" s="229"/>
      <c r="O93" s="229"/>
      <c r="P93" s="229"/>
      <c r="Q93" s="229"/>
      <c r="R93" s="229"/>
      <c r="S93" s="228"/>
      <c r="T93" s="147"/>
      <c r="U93" s="230"/>
      <c r="V93" s="147"/>
      <c r="W93" s="147"/>
      <c r="X93" s="147"/>
      <c r="Y93" s="147"/>
      <c r="Z93" s="148"/>
      <c r="AA93" s="148"/>
      <c r="AB93" s="101"/>
      <c r="AC93" s="101"/>
      <c r="AD93" s="101"/>
      <c r="AE93" s="101"/>
      <c r="AF93" s="101"/>
      <c r="AG93" s="101"/>
      <c r="AH93" s="101"/>
      <c r="AI93" s="101"/>
      <c r="AJ93" s="101"/>
      <c r="AK93" s="101"/>
    </row>
    <row r="94" spans="1:37" s="92" customFormat="1" x14ac:dyDescent="0.3">
      <c r="A94" s="148"/>
      <c r="B94" s="223"/>
      <c r="C94" s="223"/>
      <c r="D94" s="224"/>
      <c r="E94" s="225"/>
      <c r="F94" s="226"/>
      <c r="G94" s="227"/>
      <c r="H94" s="228"/>
      <c r="I94" s="228"/>
      <c r="J94" s="229"/>
      <c r="K94" s="229"/>
      <c r="L94" s="229"/>
      <c r="M94" s="229"/>
      <c r="N94" s="229"/>
      <c r="O94" s="229"/>
      <c r="P94" s="229"/>
      <c r="Q94" s="229"/>
      <c r="R94" s="229"/>
      <c r="S94" s="228"/>
      <c r="T94" s="147"/>
      <c r="U94" s="230"/>
      <c r="V94" s="147"/>
      <c r="W94" s="147"/>
      <c r="X94" s="147"/>
      <c r="Y94" s="147"/>
      <c r="Z94" s="148"/>
      <c r="AA94" s="148"/>
      <c r="AB94" s="101"/>
      <c r="AC94" s="101"/>
      <c r="AD94" s="101"/>
      <c r="AE94" s="101"/>
      <c r="AF94" s="101"/>
      <c r="AG94" s="101"/>
      <c r="AH94" s="101"/>
      <c r="AI94" s="101"/>
      <c r="AJ94" s="101"/>
      <c r="AK94" s="101"/>
    </row>
    <row r="95" spans="1:37" s="92" customFormat="1" x14ac:dyDescent="0.3">
      <c r="A95" s="148"/>
      <c r="B95" s="223"/>
      <c r="C95" s="223"/>
      <c r="D95" s="224"/>
      <c r="E95" s="225"/>
      <c r="F95" s="226"/>
      <c r="G95" s="227"/>
      <c r="H95" s="228"/>
      <c r="I95" s="228"/>
      <c r="J95" s="229"/>
      <c r="K95" s="229"/>
      <c r="L95" s="229"/>
      <c r="M95" s="229"/>
      <c r="N95" s="229"/>
      <c r="O95" s="229"/>
      <c r="P95" s="229"/>
      <c r="Q95" s="229"/>
      <c r="R95" s="229"/>
      <c r="S95" s="228"/>
      <c r="T95" s="147"/>
      <c r="U95" s="230"/>
      <c r="V95" s="147"/>
      <c r="W95" s="147"/>
      <c r="X95" s="147"/>
      <c r="Y95" s="147"/>
      <c r="Z95" s="148"/>
      <c r="AA95" s="148"/>
      <c r="AB95" s="101"/>
      <c r="AC95" s="101"/>
      <c r="AD95" s="101"/>
      <c r="AE95" s="101"/>
      <c r="AF95" s="101"/>
      <c r="AG95" s="101"/>
      <c r="AH95" s="101"/>
      <c r="AI95" s="101"/>
      <c r="AJ95" s="101"/>
      <c r="AK95" s="101"/>
    </row>
    <row r="96" spans="1:37" s="92" customFormat="1" x14ac:dyDescent="0.3">
      <c r="A96" s="148"/>
      <c r="B96" s="223"/>
      <c r="C96" s="223"/>
      <c r="D96" s="224"/>
      <c r="E96" s="225"/>
      <c r="F96" s="226"/>
      <c r="G96" s="227"/>
      <c r="H96" s="228"/>
      <c r="I96" s="228"/>
      <c r="J96" s="229"/>
      <c r="K96" s="229"/>
      <c r="L96" s="229"/>
      <c r="M96" s="229"/>
      <c r="N96" s="229"/>
      <c r="O96" s="229"/>
      <c r="P96" s="229"/>
      <c r="Q96" s="229"/>
      <c r="R96" s="229"/>
      <c r="S96" s="228"/>
      <c r="T96" s="147"/>
      <c r="U96" s="230"/>
      <c r="V96" s="147"/>
      <c r="W96" s="147"/>
      <c r="X96" s="147"/>
      <c r="Y96" s="147"/>
      <c r="Z96" s="148"/>
      <c r="AA96" s="148"/>
      <c r="AB96" s="101"/>
      <c r="AC96" s="101"/>
      <c r="AD96" s="101"/>
      <c r="AE96" s="101"/>
      <c r="AF96" s="101"/>
      <c r="AG96" s="101"/>
      <c r="AH96" s="101"/>
      <c r="AI96" s="101"/>
      <c r="AJ96" s="101"/>
      <c r="AK96" s="101"/>
    </row>
    <row r="97" spans="1:37" s="92" customFormat="1" x14ac:dyDescent="0.3">
      <c r="A97" s="148"/>
      <c r="B97" s="223"/>
      <c r="C97" s="223"/>
      <c r="D97" s="224"/>
      <c r="E97" s="225"/>
      <c r="F97" s="226"/>
      <c r="G97" s="227"/>
      <c r="H97" s="228"/>
      <c r="I97" s="228"/>
      <c r="J97" s="229"/>
      <c r="K97" s="229"/>
      <c r="L97" s="229"/>
      <c r="M97" s="229"/>
      <c r="N97" s="229"/>
      <c r="O97" s="229"/>
      <c r="P97" s="229"/>
      <c r="Q97" s="229"/>
      <c r="R97" s="229"/>
      <c r="S97" s="228"/>
      <c r="T97" s="147"/>
      <c r="U97" s="230"/>
      <c r="V97" s="147"/>
      <c r="W97" s="147"/>
      <c r="X97" s="147"/>
      <c r="Y97" s="147"/>
      <c r="Z97" s="148"/>
      <c r="AA97" s="148"/>
      <c r="AB97" s="101"/>
      <c r="AC97" s="101"/>
      <c r="AD97" s="101"/>
      <c r="AE97" s="101"/>
      <c r="AF97" s="101"/>
      <c r="AG97" s="101"/>
      <c r="AH97" s="101"/>
      <c r="AI97" s="101"/>
      <c r="AJ97" s="101"/>
      <c r="AK97" s="101"/>
    </row>
    <row r="98" spans="1:37" s="92" customFormat="1" x14ac:dyDescent="0.3">
      <c r="A98" s="148"/>
      <c r="B98" s="223"/>
      <c r="C98" s="223"/>
      <c r="D98" s="224"/>
      <c r="E98" s="225"/>
      <c r="F98" s="226"/>
      <c r="G98" s="227"/>
      <c r="H98" s="228"/>
      <c r="I98" s="228"/>
      <c r="J98" s="229"/>
      <c r="K98" s="229"/>
      <c r="L98" s="229"/>
      <c r="M98" s="229"/>
      <c r="N98" s="229"/>
      <c r="O98" s="229"/>
      <c r="P98" s="229"/>
      <c r="Q98" s="229"/>
      <c r="R98" s="229"/>
      <c r="S98" s="228"/>
      <c r="T98" s="147"/>
      <c r="U98" s="230"/>
      <c r="V98" s="147"/>
      <c r="W98" s="147"/>
      <c r="X98" s="147"/>
      <c r="Y98" s="147"/>
      <c r="Z98" s="148"/>
      <c r="AA98" s="148"/>
      <c r="AB98" s="101"/>
      <c r="AC98" s="101"/>
      <c r="AD98" s="101"/>
      <c r="AE98" s="101"/>
      <c r="AF98" s="101"/>
      <c r="AG98" s="101"/>
      <c r="AH98" s="101"/>
      <c r="AI98" s="101"/>
      <c r="AJ98" s="101"/>
      <c r="AK98" s="101"/>
    </row>
    <row r="99" spans="1:37" s="92" customFormat="1" x14ac:dyDescent="0.3">
      <c r="A99" s="148"/>
      <c r="B99" s="223"/>
      <c r="C99" s="223"/>
      <c r="D99" s="224"/>
      <c r="E99" s="225"/>
      <c r="F99" s="226"/>
      <c r="G99" s="227"/>
      <c r="H99" s="228"/>
      <c r="I99" s="228"/>
      <c r="J99" s="229"/>
      <c r="K99" s="229"/>
      <c r="L99" s="229"/>
      <c r="M99" s="229"/>
      <c r="N99" s="229"/>
      <c r="O99" s="229"/>
      <c r="P99" s="229"/>
      <c r="Q99" s="229"/>
      <c r="R99" s="229"/>
      <c r="S99" s="228"/>
      <c r="T99" s="147"/>
      <c r="U99" s="230"/>
      <c r="V99" s="147"/>
      <c r="W99" s="147"/>
      <c r="X99" s="147"/>
      <c r="Y99" s="147"/>
      <c r="Z99" s="148"/>
      <c r="AA99" s="148"/>
      <c r="AB99" s="101"/>
      <c r="AC99" s="101"/>
      <c r="AD99" s="101"/>
      <c r="AE99" s="101"/>
      <c r="AF99" s="101"/>
      <c r="AG99" s="101"/>
      <c r="AH99" s="101"/>
      <c r="AI99" s="101"/>
      <c r="AJ99" s="101"/>
      <c r="AK99" s="101"/>
    </row>
    <row r="100" spans="1:37" s="92" customFormat="1" x14ac:dyDescent="0.3">
      <c r="A100" s="148"/>
      <c r="B100" s="223"/>
      <c r="C100" s="223"/>
      <c r="D100" s="224"/>
      <c r="E100" s="225"/>
      <c r="F100" s="226"/>
      <c r="G100" s="227"/>
      <c r="H100" s="228"/>
      <c r="I100" s="228"/>
      <c r="J100" s="229"/>
      <c r="K100" s="229"/>
      <c r="L100" s="229"/>
      <c r="M100" s="229"/>
      <c r="N100" s="229"/>
      <c r="O100" s="229"/>
      <c r="P100" s="229"/>
      <c r="Q100" s="229"/>
      <c r="R100" s="229"/>
      <c r="S100" s="228"/>
      <c r="T100" s="147"/>
      <c r="U100" s="230"/>
      <c r="V100" s="147"/>
      <c r="W100" s="147"/>
      <c r="X100" s="147"/>
      <c r="Y100" s="147"/>
      <c r="Z100" s="148"/>
      <c r="AA100" s="148"/>
      <c r="AB100" s="101"/>
      <c r="AC100" s="101"/>
      <c r="AD100" s="101"/>
      <c r="AE100" s="101"/>
      <c r="AF100" s="101"/>
      <c r="AG100" s="101"/>
      <c r="AH100" s="101"/>
      <c r="AI100" s="101"/>
      <c r="AJ100" s="101"/>
      <c r="AK100" s="101"/>
    </row>
    <row r="101" spans="1:37" s="92" customFormat="1" x14ac:dyDescent="0.3">
      <c r="A101" s="148"/>
      <c r="B101" s="223"/>
      <c r="C101" s="223"/>
      <c r="D101" s="224"/>
      <c r="E101" s="225"/>
      <c r="F101" s="226"/>
      <c r="G101" s="227"/>
      <c r="H101" s="228"/>
      <c r="I101" s="228"/>
      <c r="J101" s="229"/>
      <c r="K101" s="229"/>
      <c r="L101" s="229"/>
      <c r="M101" s="229"/>
      <c r="N101" s="229"/>
      <c r="O101" s="229"/>
      <c r="P101" s="229"/>
      <c r="Q101" s="229"/>
      <c r="R101" s="229"/>
      <c r="S101" s="228"/>
      <c r="T101" s="147"/>
      <c r="U101" s="230"/>
      <c r="V101" s="147"/>
      <c r="W101" s="147"/>
      <c r="X101" s="147"/>
      <c r="Y101" s="147"/>
      <c r="Z101" s="148"/>
      <c r="AA101" s="148"/>
      <c r="AB101" s="101"/>
      <c r="AC101" s="101"/>
      <c r="AD101" s="101"/>
      <c r="AE101" s="101"/>
      <c r="AF101" s="101"/>
      <c r="AG101" s="101"/>
      <c r="AH101" s="101"/>
      <c r="AI101" s="101"/>
      <c r="AJ101" s="101"/>
      <c r="AK101" s="101"/>
    </row>
    <row r="102" spans="1:37" s="92" customFormat="1" x14ac:dyDescent="0.3">
      <c r="A102" s="148"/>
      <c r="B102" s="223"/>
      <c r="C102" s="223"/>
      <c r="D102" s="224"/>
      <c r="E102" s="225"/>
      <c r="F102" s="226"/>
      <c r="G102" s="227"/>
      <c r="H102" s="228"/>
      <c r="I102" s="228"/>
      <c r="J102" s="229"/>
      <c r="K102" s="229"/>
      <c r="L102" s="229"/>
      <c r="M102" s="229"/>
      <c r="N102" s="229"/>
      <c r="O102" s="229"/>
      <c r="P102" s="229"/>
      <c r="Q102" s="229"/>
      <c r="R102" s="229"/>
      <c r="S102" s="228"/>
      <c r="T102" s="147"/>
      <c r="U102" s="230"/>
      <c r="V102" s="147"/>
      <c r="W102" s="147"/>
      <c r="X102" s="147"/>
      <c r="Y102" s="147"/>
      <c r="Z102" s="148"/>
      <c r="AA102" s="148"/>
      <c r="AB102" s="101"/>
      <c r="AC102" s="101"/>
      <c r="AD102" s="101"/>
      <c r="AE102" s="101"/>
      <c r="AF102" s="101"/>
      <c r="AG102" s="101"/>
      <c r="AH102" s="101"/>
      <c r="AI102" s="101"/>
      <c r="AJ102" s="101"/>
      <c r="AK102" s="101"/>
    </row>
    <row r="103" spans="1:37" s="92" customFormat="1" x14ac:dyDescent="0.3">
      <c r="A103" s="148"/>
      <c r="B103" s="223"/>
      <c r="C103" s="223"/>
      <c r="D103" s="224"/>
      <c r="E103" s="225"/>
      <c r="F103" s="226"/>
      <c r="G103" s="227"/>
      <c r="H103" s="228"/>
      <c r="I103" s="228"/>
      <c r="J103" s="229"/>
      <c r="K103" s="229"/>
      <c r="L103" s="229"/>
      <c r="M103" s="229"/>
      <c r="N103" s="229"/>
      <c r="O103" s="229"/>
      <c r="P103" s="229"/>
      <c r="Q103" s="229"/>
      <c r="R103" s="229"/>
      <c r="S103" s="228"/>
      <c r="T103" s="147"/>
      <c r="U103" s="230"/>
      <c r="V103" s="147"/>
      <c r="W103" s="147"/>
      <c r="X103" s="147"/>
      <c r="Y103" s="147"/>
      <c r="Z103" s="148"/>
      <c r="AA103" s="148"/>
      <c r="AB103" s="101"/>
      <c r="AC103" s="101"/>
      <c r="AD103" s="101"/>
      <c r="AE103" s="101"/>
      <c r="AF103" s="101"/>
      <c r="AG103" s="101"/>
      <c r="AH103" s="101"/>
      <c r="AI103" s="101"/>
      <c r="AJ103" s="101"/>
      <c r="AK103" s="101"/>
    </row>
    <row r="104" spans="1:37" s="92" customFormat="1" x14ac:dyDescent="0.3">
      <c r="A104" s="148"/>
      <c r="B104" s="223"/>
      <c r="C104" s="223"/>
      <c r="D104" s="224"/>
      <c r="E104" s="225"/>
      <c r="F104" s="226"/>
      <c r="G104" s="227"/>
      <c r="H104" s="228"/>
      <c r="I104" s="228"/>
      <c r="J104" s="229"/>
      <c r="K104" s="229"/>
      <c r="L104" s="229"/>
      <c r="M104" s="229"/>
      <c r="N104" s="229"/>
      <c r="O104" s="229"/>
      <c r="P104" s="229"/>
      <c r="Q104" s="229"/>
      <c r="R104" s="229"/>
      <c r="S104" s="228"/>
      <c r="T104" s="147"/>
      <c r="U104" s="230"/>
      <c r="V104" s="147"/>
      <c r="W104" s="147"/>
      <c r="X104" s="147"/>
      <c r="Y104" s="147"/>
      <c r="Z104" s="148"/>
      <c r="AA104" s="148"/>
      <c r="AB104" s="101"/>
      <c r="AC104" s="101"/>
      <c r="AD104" s="101"/>
      <c r="AE104" s="101"/>
      <c r="AF104" s="101"/>
      <c r="AG104" s="101"/>
      <c r="AH104" s="101"/>
      <c r="AI104" s="101"/>
      <c r="AJ104" s="101"/>
      <c r="AK104" s="101"/>
    </row>
    <row r="105" spans="1:37" s="92" customFormat="1" x14ac:dyDescent="0.3">
      <c r="A105" s="148"/>
      <c r="B105" s="223"/>
      <c r="C105" s="223"/>
      <c r="D105" s="224"/>
      <c r="E105" s="225"/>
      <c r="F105" s="226"/>
      <c r="G105" s="227"/>
      <c r="H105" s="228"/>
      <c r="I105" s="228"/>
      <c r="J105" s="229"/>
      <c r="K105" s="229"/>
      <c r="L105" s="229"/>
      <c r="M105" s="229"/>
      <c r="N105" s="229"/>
      <c r="O105" s="229"/>
      <c r="P105" s="229"/>
      <c r="Q105" s="229"/>
      <c r="R105" s="229"/>
      <c r="S105" s="228"/>
      <c r="T105" s="147"/>
      <c r="U105" s="230"/>
      <c r="V105" s="147"/>
      <c r="W105" s="147"/>
      <c r="X105" s="147"/>
      <c r="Y105" s="147"/>
      <c r="Z105" s="148"/>
      <c r="AA105" s="148"/>
      <c r="AB105" s="101"/>
      <c r="AC105" s="101"/>
      <c r="AD105" s="101"/>
      <c r="AE105" s="101"/>
      <c r="AF105" s="101"/>
      <c r="AG105" s="101"/>
      <c r="AH105" s="101"/>
      <c r="AI105" s="101"/>
      <c r="AJ105" s="101"/>
      <c r="AK105" s="101"/>
    </row>
    <row r="106" spans="1:37" s="92" customFormat="1" x14ac:dyDescent="0.3">
      <c r="A106" s="148"/>
      <c r="B106" s="223"/>
      <c r="C106" s="223"/>
      <c r="D106" s="224"/>
      <c r="E106" s="225"/>
      <c r="F106" s="226"/>
      <c r="G106" s="227"/>
      <c r="H106" s="228"/>
      <c r="I106" s="228"/>
      <c r="J106" s="229"/>
      <c r="K106" s="229"/>
      <c r="L106" s="229"/>
      <c r="M106" s="229"/>
      <c r="N106" s="229"/>
      <c r="O106" s="229"/>
      <c r="P106" s="229"/>
      <c r="Q106" s="229"/>
      <c r="R106" s="229"/>
      <c r="S106" s="228"/>
      <c r="T106" s="147"/>
      <c r="U106" s="230"/>
      <c r="V106" s="147"/>
      <c r="W106" s="147"/>
      <c r="X106" s="147"/>
      <c r="Y106" s="147"/>
      <c r="Z106" s="148"/>
      <c r="AA106" s="148"/>
      <c r="AB106" s="101"/>
      <c r="AC106" s="101"/>
      <c r="AD106" s="101"/>
      <c r="AE106" s="101"/>
      <c r="AF106" s="101"/>
      <c r="AG106" s="101"/>
      <c r="AH106" s="101"/>
      <c r="AI106" s="101"/>
      <c r="AJ106" s="101"/>
      <c r="AK106" s="101"/>
    </row>
    <row r="107" spans="1:37" s="92" customFormat="1" x14ac:dyDescent="0.3">
      <c r="A107" s="148"/>
      <c r="B107" s="223"/>
      <c r="C107" s="223"/>
      <c r="D107" s="224"/>
      <c r="E107" s="225"/>
      <c r="F107" s="226"/>
      <c r="G107" s="227"/>
      <c r="H107" s="228"/>
      <c r="I107" s="228"/>
      <c r="J107" s="229"/>
      <c r="K107" s="229"/>
      <c r="L107" s="229"/>
      <c r="M107" s="229"/>
      <c r="N107" s="229"/>
      <c r="O107" s="229"/>
      <c r="P107" s="229"/>
      <c r="Q107" s="229"/>
      <c r="R107" s="229"/>
      <c r="S107" s="228"/>
      <c r="T107" s="147"/>
      <c r="U107" s="230"/>
      <c r="V107" s="147"/>
      <c r="W107" s="147"/>
      <c r="X107" s="147"/>
      <c r="Y107" s="147"/>
      <c r="Z107" s="148"/>
      <c r="AA107" s="148"/>
      <c r="AB107" s="101"/>
      <c r="AC107" s="101"/>
      <c r="AD107" s="101"/>
      <c r="AE107" s="101"/>
      <c r="AF107" s="101"/>
      <c r="AG107" s="101"/>
      <c r="AH107" s="101"/>
      <c r="AI107" s="101"/>
      <c r="AJ107" s="101"/>
      <c r="AK107" s="101"/>
    </row>
    <row r="108" spans="1:37" s="92" customFormat="1" x14ac:dyDescent="0.3">
      <c r="A108" s="148"/>
      <c r="B108" s="223"/>
      <c r="C108" s="223"/>
      <c r="D108" s="224"/>
      <c r="E108" s="225"/>
      <c r="F108" s="226"/>
      <c r="G108" s="227"/>
      <c r="H108" s="228"/>
      <c r="I108" s="228"/>
      <c r="J108" s="229"/>
      <c r="K108" s="229"/>
      <c r="L108" s="229"/>
      <c r="M108" s="229"/>
      <c r="N108" s="229"/>
      <c r="O108" s="229"/>
      <c r="P108" s="229"/>
      <c r="Q108" s="229"/>
      <c r="R108" s="229"/>
      <c r="S108" s="228"/>
      <c r="T108" s="147"/>
      <c r="U108" s="230"/>
      <c r="V108" s="147"/>
      <c r="W108" s="147"/>
      <c r="X108" s="147"/>
      <c r="Y108" s="147"/>
      <c r="Z108" s="148"/>
      <c r="AA108" s="148"/>
      <c r="AB108" s="101"/>
      <c r="AC108" s="101"/>
      <c r="AD108" s="101"/>
      <c r="AE108" s="101"/>
      <c r="AF108" s="101"/>
      <c r="AG108" s="101"/>
      <c r="AH108" s="101"/>
      <c r="AI108" s="101"/>
      <c r="AJ108" s="101"/>
      <c r="AK108" s="101"/>
    </row>
    <row r="109" spans="1:37" s="92" customFormat="1" x14ac:dyDescent="0.3">
      <c r="A109" s="148"/>
      <c r="B109" s="223"/>
      <c r="C109" s="223"/>
      <c r="D109" s="224"/>
      <c r="E109" s="225"/>
      <c r="F109" s="226"/>
      <c r="G109" s="227"/>
      <c r="H109" s="228"/>
      <c r="I109" s="228"/>
      <c r="J109" s="229"/>
      <c r="K109" s="229"/>
      <c r="L109" s="229"/>
      <c r="M109" s="229"/>
      <c r="N109" s="229"/>
      <c r="O109" s="229"/>
      <c r="P109" s="229"/>
      <c r="Q109" s="229"/>
      <c r="R109" s="229"/>
      <c r="S109" s="228"/>
      <c r="T109" s="147"/>
      <c r="U109" s="230"/>
      <c r="V109" s="147"/>
      <c r="W109" s="147"/>
      <c r="X109" s="147"/>
      <c r="Y109" s="147"/>
      <c r="Z109" s="148"/>
      <c r="AA109" s="148"/>
      <c r="AB109" s="101"/>
      <c r="AC109" s="101"/>
      <c r="AD109" s="101"/>
      <c r="AE109" s="101"/>
      <c r="AF109" s="101"/>
      <c r="AG109" s="101"/>
      <c r="AH109" s="101"/>
      <c r="AI109" s="101"/>
      <c r="AJ109" s="101"/>
      <c r="AK109" s="101"/>
    </row>
    <row r="110" spans="1:37" s="92" customFormat="1" x14ac:dyDescent="0.3">
      <c r="A110" s="148"/>
      <c r="B110" s="223"/>
      <c r="C110" s="223"/>
      <c r="D110" s="224"/>
      <c r="E110" s="225"/>
      <c r="F110" s="226"/>
      <c r="G110" s="227"/>
      <c r="H110" s="228"/>
      <c r="I110" s="228"/>
      <c r="J110" s="229"/>
      <c r="K110" s="229"/>
      <c r="L110" s="229"/>
      <c r="M110" s="229"/>
      <c r="N110" s="229"/>
      <c r="O110" s="229"/>
      <c r="P110" s="229"/>
      <c r="Q110" s="229"/>
      <c r="R110" s="229"/>
      <c r="S110" s="228"/>
      <c r="T110" s="147"/>
      <c r="U110" s="230"/>
      <c r="V110" s="147"/>
      <c r="W110" s="147"/>
      <c r="X110" s="147"/>
      <c r="Y110" s="147"/>
      <c r="Z110" s="148"/>
      <c r="AA110" s="148"/>
      <c r="AB110" s="101"/>
      <c r="AC110" s="101"/>
      <c r="AD110" s="101"/>
      <c r="AE110" s="101"/>
      <c r="AF110" s="101"/>
      <c r="AG110" s="101"/>
      <c r="AH110" s="101"/>
      <c r="AI110" s="101"/>
      <c r="AJ110" s="101"/>
      <c r="AK110" s="101"/>
    </row>
    <row r="111" spans="1:37" s="92" customFormat="1" x14ac:dyDescent="0.3">
      <c r="A111" s="148"/>
      <c r="B111" s="223"/>
      <c r="C111" s="223"/>
      <c r="D111" s="224"/>
      <c r="E111" s="225"/>
      <c r="F111" s="226"/>
      <c r="G111" s="227"/>
      <c r="H111" s="228"/>
      <c r="I111" s="228"/>
      <c r="J111" s="229"/>
      <c r="K111" s="229"/>
      <c r="L111" s="229"/>
      <c r="M111" s="229"/>
      <c r="N111" s="229"/>
      <c r="O111" s="229"/>
      <c r="P111" s="229"/>
      <c r="Q111" s="229"/>
      <c r="R111" s="229"/>
      <c r="S111" s="228"/>
      <c r="T111" s="147"/>
      <c r="U111" s="230"/>
      <c r="V111" s="147"/>
      <c r="W111" s="147"/>
      <c r="X111" s="147"/>
      <c r="Y111" s="147"/>
      <c r="Z111" s="148"/>
      <c r="AA111" s="148"/>
      <c r="AB111" s="101"/>
      <c r="AC111" s="101"/>
      <c r="AD111" s="101"/>
      <c r="AE111" s="101"/>
      <c r="AF111" s="101"/>
      <c r="AG111" s="101"/>
      <c r="AH111" s="101"/>
      <c r="AI111" s="101"/>
      <c r="AJ111" s="101"/>
      <c r="AK111" s="101"/>
    </row>
    <row r="112" spans="1:37" s="92" customFormat="1" x14ac:dyDescent="0.3">
      <c r="A112" s="148"/>
      <c r="B112" s="223"/>
      <c r="C112" s="223"/>
      <c r="D112" s="224"/>
      <c r="E112" s="225"/>
      <c r="F112" s="226"/>
      <c r="G112" s="227"/>
      <c r="H112" s="228"/>
      <c r="I112" s="228"/>
      <c r="J112" s="229"/>
      <c r="K112" s="229"/>
      <c r="L112" s="229"/>
      <c r="M112" s="229"/>
      <c r="N112" s="229"/>
      <c r="O112" s="229"/>
      <c r="P112" s="229"/>
      <c r="Q112" s="229"/>
      <c r="R112" s="229"/>
      <c r="S112" s="228"/>
      <c r="T112" s="147"/>
      <c r="U112" s="230"/>
      <c r="V112" s="147"/>
      <c r="W112" s="147"/>
      <c r="X112" s="147"/>
      <c r="Y112" s="147"/>
      <c r="Z112" s="148"/>
      <c r="AA112" s="148"/>
      <c r="AB112" s="101"/>
      <c r="AC112" s="101"/>
      <c r="AD112" s="101"/>
      <c r="AE112" s="101"/>
      <c r="AF112" s="101"/>
      <c r="AG112" s="101"/>
      <c r="AH112" s="101"/>
      <c r="AI112" s="101"/>
      <c r="AJ112" s="101"/>
      <c r="AK112" s="101"/>
    </row>
    <row r="113" spans="1:37" s="92" customFormat="1" x14ac:dyDescent="0.3">
      <c r="A113" s="148"/>
      <c r="B113" s="223"/>
      <c r="C113" s="223"/>
      <c r="D113" s="224"/>
      <c r="E113" s="225"/>
      <c r="F113" s="226"/>
      <c r="G113" s="227"/>
      <c r="H113" s="228"/>
      <c r="I113" s="228"/>
      <c r="J113" s="229"/>
      <c r="K113" s="229"/>
      <c r="L113" s="229"/>
      <c r="M113" s="229"/>
      <c r="N113" s="229"/>
      <c r="O113" s="229"/>
      <c r="P113" s="229"/>
      <c r="Q113" s="229"/>
      <c r="R113" s="229"/>
      <c r="S113" s="228"/>
      <c r="T113" s="147"/>
      <c r="U113" s="230"/>
      <c r="V113" s="147"/>
      <c r="W113" s="147"/>
      <c r="X113" s="147"/>
      <c r="Y113" s="147"/>
      <c r="Z113" s="148"/>
      <c r="AA113" s="148"/>
      <c r="AB113" s="101"/>
      <c r="AC113" s="101"/>
      <c r="AD113" s="101"/>
      <c r="AE113" s="101"/>
      <c r="AF113" s="101"/>
      <c r="AG113" s="101"/>
      <c r="AH113" s="101"/>
      <c r="AI113" s="101"/>
      <c r="AJ113" s="101"/>
      <c r="AK113" s="101"/>
    </row>
    <row r="114" spans="1:37" s="92" customFormat="1" x14ac:dyDescent="0.3">
      <c r="A114" s="148"/>
      <c r="B114" s="223"/>
      <c r="C114" s="223"/>
      <c r="D114" s="224"/>
      <c r="E114" s="225"/>
      <c r="F114" s="226"/>
      <c r="G114" s="227"/>
      <c r="H114" s="228"/>
      <c r="I114" s="228"/>
      <c r="J114" s="229"/>
      <c r="K114" s="229"/>
      <c r="L114" s="229"/>
      <c r="M114" s="229"/>
      <c r="N114" s="229"/>
      <c r="O114" s="229"/>
      <c r="P114" s="229"/>
      <c r="Q114" s="229"/>
      <c r="R114" s="229"/>
      <c r="S114" s="228"/>
      <c r="T114" s="147"/>
      <c r="U114" s="230"/>
      <c r="V114" s="147"/>
      <c r="W114" s="147"/>
      <c r="X114" s="147"/>
      <c r="Y114" s="147"/>
      <c r="Z114" s="148"/>
      <c r="AA114" s="148"/>
      <c r="AB114" s="101"/>
      <c r="AC114" s="101"/>
      <c r="AD114" s="101"/>
      <c r="AE114" s="101"/>
      <c r="AF114" s="101"/>
      <c r="AG114" s="101"/>
      <c r="AH114" s="101"/>
      <c r="AI114" s="101"/>
      <c r="AJ114" s="101"/>
      <c r="AK114" s="101"/>
    </row>
    <row r="115" spans="1:37" s="92" customFormat="1" x14ac:dyDescent="0.3">
      <c r="A115" s="148"/>
      <c r="B115" s="223"/>
      <c r="C115" s="223"/>
      <c r="D115" s="224"/>
      <c r="E115" s="225"/>
      <c r="F115" s="226"/>
      <c r="G115" s="227"/>
      <c r="H115" s="228"/>
      <c r="I115" s="228"/>
      <c r="J115" s="229"/>
      <c r="K115" s="229"/>
      <c r="L115" s="229"/>
      <c r="M115" s="229"/>
      <c r="N115" s="229"/>
      <c r="O115" s="229"/>
      <c r="P115" s="229"/>
      <c r="Q115" s="229"/>
      <c r="R115" s="229"/>
      <c r="S115" s="228"/>
      <c r="T115" s="147"/>
      <c r="U115" s="230"/>
      <c r="V115" s="147"/>
      <c r="W115" s="147"/>
      <c r="X115" s="147"/>
      <c r="Y115" s="147"/>
      <c r="Z115" s="148"/>
      <c r="AA115" s="148"/>
      <c r="AB115" s="101"/>
      <c r="AC115" s="101"/>
      <c r="AD115" s="101"/>
      <c r="AE115" s="101"/>
      <c r="AF115" s="101"/>
      <c r="AG115" s="101"/>
      <c r="AH115" s="101"/>
      <c r="AI115" s="101"/>
      <c r="AJ115" s="101"/>
      <c r="AK115" s="101"/>
    </row>
    <row r="116" spans="1:37" s="92" customFormat="1" x14ac:dyDescent="0.3">
      <c r="A116" s="148"/>
      <c r="B116" s="223"/>
      <c r="C116" s="223"/>
      <c r="D116" s="224"/>
      <c r="E116" s="225"/>
      <c r="F116" s="226"/>
      <c r="G116" s="227"/>
      <c r="H116" s="228"/>
      <c r="I116" s="228"/>
      <c r="J116" s="229"/>
      <c r="K116" s="229"/>
      <c r="L116" s="229"/>
      <c r="M116" s="229"/>
      <c r="N116" s="229"/>
      <c r="O116" s="229"/>
      <c r="P116" s="229"/>
      <c r="Q116" s="229"/>
      <c r="R116" s="229"/>
      <c r="S116" s="228"/>
      <c r="T116" s="147"/>
      <c r="U116" s="230"/>
      <c r="V116" s="147"/>
      <c r="W116" s="147"/>
      <c r="X116" s="147"/>
      <c r="Y116" s="147"/>
      <c r="Z116" s="148"/>
      <c r="AA116" s="148"/>
      <c r="AB116" s="101"/>
      <c r="AC116" s="101"/>
      <c r="AD116" s="101"/>
      <c r="AE116" s="101"/>
      <c r="AF116" s="101"/>
      <c r="AG116" s="101"/>
      <c r="AH116" s="101"/>
      <c r="AI116" s="101"/>
      <c r="AJ116" s="101"/>
      <c r="AK116" s="101"/>
    </row>
    <row r="117" spans="1:37" s="92" customFormat="1" x14ac:dyDescent="0.3">
      <c r="A117" s="148"/>
      <c r="B117" s="223"/>
      <c r="C117" s="223"/>
      <c r="D117" s="224"/>
      <c r="E117" s="225"/>
      <c r="F117" s="226"/>
      <c r="G117" s="227"/>
      <c r="H117" s="228"/>
      <c r="I117" s="228"/>
      <c r="J117" s="229"/>
      <c r="K117" s="229"/>
      <c r="L117" s="229"/>
      <c r="M117" s="229"/>
      <c r="N117" s="229"/>
      <c r="O117" s="229"/>
      <c r="P117" s="229"/>
      <c r="Q117" s="229"/>
      <c r="R117" s="229"/>
      <c r="S117" s="228"/>
      <c r="T117" s="147"/>
      <c r="U117" s="230"/>
      <c r="V117" s="147"/>
      <c r="W117" s="147"/>
      <c r="X117" s="147"/>
      <c r="Y117" s="147"/>
      <c r="Z117" s="148"/>
      <c r="AA117" s="148"/>
      <c r="AB117" s="101"/>
      <c r="AC117" s="101"/>
      <c r="AD117" s="101"/>
      <c r="AE117" s="101"/>
      <c r="AF117" s="101"/>
      <c r="AG117" s="101"/>
      <c r="AH117" s="101"/>
      <c r="AI117" s="101"/>
      <c r="AJ117" s="101"/>
      <c r="AK117" s="101"/>
    </row>
    <row r="118" spans="1:37" s="92" customFormat="1" x14ac:dyDescent="0.3">
      <c r="A118" s="148"/>
      <c r="B118" s="223"/>
      <c r="C118" s="223"/>
      <c r="D118" s="224"/>
      <c r="E118" s="225"/>
      <c r="F118" s="226"/>
      <c r="G118" s="227"/>
      <c r="H118" s="228"/>
      <c r="I118" s="228"/>
      <c r="J118" s="229"/>
      <c r="K118" s="229"/>
      <c r="L118" s="229"/>
      <c r="M118" s="229"/>
      <c r="N118" s="229"/>
      <c r="O118" s="229"/>
      <c r="P118" s="229"/>
      <c r="Q118" s="229"/>
      <c r="R118" s="229"/>
      <c r="S118" s="228"/>
      <c r="T118" s="147"/>
      <c r="U118" s="230"/>
      <c r="V118" s="147"/>
      <c r="W118" s="147"/>
      <c r="X118" s="147"/>
      <c r="Y118" s="147"/>
      <c r="Z118" s="148"/>
      <c r="AA118" s="148"/>
      <c r="AB118" s="101"/>
      <c r="AC118" s="101"/>
      <c r="AD118" s="101"/>
      <c r="AE118" s="101"/>
      <c r="AF118" s="101"/>
      <c r="AG118" s="101"/>
      <c r="AH118" s="101"/>
      <c r="AI118" s="101"/>
      <c r="AJ118" s="101"/>
      <c r="AK118" s="101"/>
    </row>
    <row r="119" spans="1:37" s="92" customFormat="1" x14ac:dyDescent="0.3">
      <c r="A119" s="148"/>
      <c r="B119" s="223"/>
      <c r="C119" s="223"/>
      <c r="D119" s="224"/>
      <c r="E119" s="225"/>
      <c r="F119" s="226"/>
      <c r="G119" s="227"/>
      <c r="H119" s="228"/>
      <c r="I119" s="228"/>
      <c r="J119" s="229"/>
      <c r="K119" s="229"/>
      <c r="L119" s="229"/>
      <c r="M119" s="229"/>
      <c r="N119" s="229"/>
      <c r="O119" s="229"/>
      <c r="P119" s="229"/>
      <c r="Q119" s="229"/>
      <c r="R119" s="229"/>
      <c r="S119" s="228"/>
      <c r="T119" s="147"/>
      <c r="U119" s="230"/>
      <c r="V119" s="147"/>
      <c r="W119" s="147"/>
      <c r="X119" s="147"/>
      <c r="Y119" s="147"/>
      <c r="Z119" s="148"/>
      <c r="AA119" s="148"/>
      <c r="AB119" s="101"/>
      <c r="AC119" s="101"/>
      <c r="AD119" s="101"/>
      <c r="AE119" s="101"/>
      <c r="AF119" s="101"/>
      <c r="AG119" s="101"/>
      <c r="AH119" s="101"/>
      <c r="AI119" s="101"/>
      <c r="AJ119" s="101"/>
      <c r="AK119" s="101"/>
    </row>
    <row r="120" spans="1:37" s="92" customFormat="1" x14ac:dyDescent="0.3">
      <c r="A120" s="148"/>
      <c r="B120" s="223"/>
      <c r="C120" s="223"/>
      <c r="D120" s="224"/>
      <c r="E120" s="225"/>
      <c r="F120" s="226"/>
      <c r="G120" s="227"/>
      <c r="H120" s="228"/>
      <c r="I120" s="228"/>
      <c r="J120" s="229"/>
      <c r="K120" s="229"/>
      <c r="L120" s="229"/>
      <c r="M120" s="229"/>
      <c r="N120" s="229"/>
      <c r="O120" s="229"/>
      <c r="P120" s="229"/>
      <c r="Q120" s="229"/>
      <c r="R120" s="229"/>
      <c r="S120" s="228"/>
      <c r="T120" s="147"/>
      <c r="U120" s="230"/>
      <c r="V120" s="147"/>
      <c r="W120" s="147"/>
      <c r="X120" s="147"/>
      <c r="Y120" s="147"/>
      <c r="Z120" s="148"/>
      <c r="AA120" s="148"/>
      <c r="AB120" s="101"/>
      <c r="AC120" s="101"/>
      <c r="AD120" s="101"/>
      <c r="AE120" s="101"/>
      <c r="AF120" s="101"/>
      <c r="AG120" s="101"/>
      <c r="AH120" s="101"/>
      <c r="AI120" s="101"/>
      <c r="AJ120" s="101"/>
      <c r="AK120" s="101"/>
    </row>
    <row r="121" spans="1:37" s="92" customFormat="1" x14ac:dyDescent="0.3">
      <c r="A121" s="148"/>
      <c r="B121" s="223"/>
      <c r="C121" s="223"/>
      <c r="D121" s="224"/>
      <c r="E121" s="225"/>
      <c r="F121" s="226"/>
      <c r="G121" s="227"/>
      <c r="H121" s="228"/>
      <c r="I121" s="228"/>
      <c r="J121" s="229"/>
      <c r="K121" s="229"/>
      <c r="L121" s="229"/>
      <c r="M121" s="229"/>
      <c r="N121" s="229"/>
      <c r="O121" s="229"/>
      <c r="P121" s="229"/>
      <c r="Q121" s="229"/>
      <c r="R121" s="229"/>
      <c r="S121" s="228"/>
      <c r="T121" s="147"/>
      <c r="U121" s="230"/>
      <c r="V121" s="147"/>
      <c r="W121" s="147"/>
      <c r="X121" s="147"/>
      <c r="Y121" s="147"/>
      <c r="Z121" s="148"/>
      <c r="AA121" s="148"/>
      <c r="AB121" s="101"/>
      <c r="AC121" s="101"/>
      <c r="AD121" s="101"/>
      <c r="AE121" s="101"/>
      <c r="AF121" s="101"/>
      <c r="AG121" s="101"/>
      <c r="AH121" s="101"/>
      <c r="AI121" s="101"/>
      <c r="AJ121" s="101"/>
      <c r="AK121" s="101"/>
    </row>
    <row r="122" spans="1:37" s="92" customFormat="1" x14ac:dyDescent="0.3">
      <c r="A122" s="148"/>
      <c r="B122" s="223"/>
      <c r="C122" s="223"/>
      <c r="D122" s="224"/>
      <c r="E122" s="225"/>
      <c r="F122" s="226"/>
      <c r="G122" s="227"/>
      <c r="H122" s="228"/>
      <c r="I122" s="228"/>
      <c r="J122" s="229"/>
      <c r="K122" s="229"/>
      <c r="L122" s="229"/>
      <c r="M122" s="229"/>
      <c r="N122" s="229"/>
      <c r="O122" s="229"/>
      <c r="P122" s="229"/>
      <c r="Q122" s="229"/>
      <c r="R122" s="229"/>
      <c r="S122" s="228"/>
      <c r="T122" s="147"/>
      <c r="U122" s="230"/>
      <c r="V122" s="147"/>
      <c r="W122" s="147"/>
      <c r="X122" s="147"/>
      <c r="Y122" s="147"/>
      <c r="Z122" s="148"/>
      <c r="AA122" s="148"/>
      <c r="AB122" s="101"/>
      <c r="AC122" s="101"/>
      <c r="AD122" s="101"/>
      <c r="AE122" s="101"/>
      <c r="AF122" s="101"/>
      <c r="AG122" s="101"/>
      <c r="AH122" s="101"/>
      <c r="AI122" s="101"/>
      <c r="AJ122" s="101"/>
      <c r="AK122" s="101"/>
    </row>
    <row r="123" spans="1:37" s="92" customFormat="1" x14ac:dyDescent="0.3">
      <c r="A123" s="148"/>
      <c r="B123" s="223"/>
      <c r="C123" s="223"/>
      <c r="D123" s="224"/>
      <c r="E123" s="225"/>
      <c r="F123" s="226"/>
      <c r="G123" s="227"/>
      <c r="H123" s="228"/>
      <c r="I123" s="228"/>
      <c r="J123" s="229"/>
      <c r="K123" s="229"/>
      <c r="L123" s="229"/>
      <c r="M123" s="229"/>
      <c r="N123" s="229"/>
      <c r="O123" s="229"/>
      <c r="P123" s="229"/>
      <c r="Q123" s="229"/>
      <c r="R123" s="229"/>
      <c r="S123" s="228"/>
      <c r="T123" s="147"/>
      <c r="U123" s="230"/>
      <c r="V123" s="147"/>
      <c r="W123" s="147"/>
      <c r="X123" s="147"/>
      <c r="Y123" s="147"/>
      <c r="Z123" s="148"/>
      <c r="AA123" s="148"/>
      <c r="AB123" s="101"/>
      <c r="AC123" s="101"/>
      <c r="AD123" s="101"/>
      <c r="AE123" s="101"/>
      <c r="AF123" s="101"/>
      <c r="AG123" s="101"/>
      <c r="AH123" s="101"/>
      <c r="AI123" s="101"/>
      <c r="AJ123" s="101"/>
      <c r="AK123" s="101"/>
    </row>
    <row r="124" spans="1:37" s="92" customFormat="1" x14ac:dyDescent="0.3">
      <c r="A124" s="148"/>
      <c r="B124" s="223"/>
      <c r="C124" s="223"/>
      <c r="D124" s="224"/>
      <c r="E124" s="225"/>
      <c r="F124" s="226"/>
      <c r="G124" s="227"/>
      <c r="H124" s="228"/>
      <c r="I124" s="228"/>
      <c r="J124" s="229"/>
      <c r="K124" s="229"/>
      <c r="L124" s="229"/>
      <c r="M124" s="229"/>
      <c r="N124" s="229"/>
      <c r="O124" s="229"/>
      <c r="P124" s="229"/>
      <c r="Q124" s="229"/>
      <c r="R124" s="229"/>
      <c r="S124" s="228"/>
      <c r="T124" s="147"/>
      <c r="U124" s="230"/>
      <c r="V124" s="147"/>
      <c r="W124" s="147"/>
      <c r="X124" s="147"/>
      <c r="Y124" s="147"/>
      <c r="Z124" s="148"/>
      <c r="AA124" s="148"/>
      <c r="AB124" s="101"/>
      <c r="AC124" s="101"/>
      <c r="AD124" s="101"/>
      <c r="AE124" s="101"/>
      <c r="AF124" s="101"/>
      <c r="AG124" s="101"/>
      <c r="AH124" s="101"/>
      <c r="AI124" s="101"/>
      <c r="AJ124" s="101"/>
      <c r="AK124" s="101"/>
    </row>
    <row r="125" spans="1:37" s="92" customFormat="1" x14ac:dyDescent="0.3">
      <c r="A125" s="148"/>
      <c r="B125" s="223"/>
      <c r="C125" s="223"/>
      <c r="D125" s="224"/>
      <c r="E125" s="225"/>
      <c r="F125" s="226"/>
      <c r="G125" s="227"/>
      <c r="H125" s="228"/>
      <c r="I125" s="228"/>
      <c r="J125" s="229"/>
      <c r="K125" s="229"/>
      <c r="L125" s="229"/>
      <c r="M125" s="229"/>
      <c r="N125" s="229"/>
      <c r="O125" s="229"/>
      <c r="P125" s="229"/>
      <c r="Q125" s="229"/>
      <c r="R125" s="229"/>
      <c r="S125" s="228"/>
      <c r="T125" s="147"/>
      <c r="U125" s="230"/>
      <c r="V125" s="147"/>
      <c r="W125" s="147"/>
      <c r="X125" s="147"/>
      <c r="Y125" s="147"/>
      <c r="Z125" s="148"/>
      <c r="AA125" s="148"/>
      <c r="AB125" s="101"/>
      <c r="AC125" s="101"/>
      <c r="AD125" s="101"/>
      <c r="AE125" s="101"/>
      <c r="AF125" s="101"/>
      <c r="AG125" s="101"/>
      <c r="AH125" s="101"/>
      <c r="AI125" s="101"/>
      <c r="AJ125" s="101"/>
      <c r="AK125" s="101"/>
    </row>
    <row r="126" spans="1:37" s="92" customFormat="1" x14ac:dyDescent="0.3">
      <c r="A126" s="148"/>
      <c r="B126" s="223"/>
      <c r="C126" s="223"/>
      <c r="D126" s="224"/>
      <c r="E126" s="225"/>
      <c r="F126" s="226"/>
      <c r="G126" s="227"/>
      <c r="H126" s="228"/>
      <c r="I126" s="228"/>
      <c r="J126" s="229"/>
      <c r="K126" s="229"/>
      <c r="L126" s="229"/>
      <c r="M126" s="229"/>
      <c r="N126" s="229"/>
      <c r="O126" s="229"/>
      <c r="P126" s="229"/>
      <c r="Q126" s="229"/>
      <c r="R126" s="229"/>
      <c r="S126" s="228"/>
      <c r="T126" s="147"/>
      <c r="U126" s="230"/>
      <c r="V126" s="147"/>
      <c r="W126" s="147"/>
      <c r="X126" s="147"/>
      <c r="Y126" s="147"/>
      <c r="Z126" s="148"/>
      <c r="AA126" s="148"/>
      <c r="AB126" s="101"/>
      <c r="AC126" s="101"/>
      <c r="AD126" s="101"/>
      <c r="AE126" s="101"/>
      <c r="AF126" s="101"/>
      <c r="AG126" s="101"/>
      <c r="AH126" s="101"/>
      <c r="AI126" s="101"/>
      <c r="AJ126" s="101"/>
      <c r="AK126" s="101"/>
    </row>
    <row r="127" spans="1:37" s="92" customFormat="1" x14ac:dyDescent="0.3">
      <c r="A127" s="148"/>
      <c r="B127" s="223"/>
      <c r="C127" s="223"/>
      <c r="D127" s="224"/>
      <c r="E127" s="225"/>
      <c r="F127" s="226"/>
      <c r="G127" s="227"/>
      <c r="H127" s="228"/>
      <c r="I127" s="228"/>
      <c r="J127" s="229"/>
      <c r="K127" s="229"/>
      <c r="L127" s="229"/>
      <c r="M127" s="229"/>
      <c r="N127" s="229"/>
      <c r="O127" s="229"/>
      <c r="P127" s="229"/>
      <c r="Q127" s="229"/>
      <c r="R127" s="229"/>
      <c r="S127" s="228"/>
      <c r="T127" s="147"/>
      <c r="U127" s="230"/>
      <c r="V127" s="147"/>
      <c r="W127" s="147"/>
      <c r="X127" s="147"/>
      <c r="Y127" s="147"/>
      <c r="Z127" s="148"/>
      <c r="AA127" s="148"/>
      <c r="AB127" s="101"/>
      <c r="AC127" s="101"/>
      <c r="AD127" s="101"/>
      <c r="AE127" s="101"/>
      <c r="AF127" s="101"/>
      <c r="AG127" s="101"/>
      <c r="AH127" s="101"/>
      <c r="AI127" s="101"/>
      <c r="AJ127" s="101"/>
      <c r="AK127" s="101"/>
    </row>
    <row r="128" spans="1:37" s="92" customFormat="1" x14ac:dyDescent="0.3">
      <c r="A128" s="148"/>
      <c r="B128" s="223"/>
      <c r="C128" s="223"/>
      <c r="D128" s="224"/>
      <c r="E128" s="225"/>
      <c r="F128" s="226"/>
      <c r="G128" s="227"/>
      <c r="H128" s="228"/>
      <c r="I128" s="228"/>
      <c r="J128" s="229"/>
      <c r="K128" s="229"/>
      <c r="L128" s="229"/>
      <c r="M128" s="229"/>
      <c r="N128" s="229"/>
      <c r="O128" s="229"/>
      <c r="P128" s="229"/>
      <c r="Q128" s="229"/>
      <c r="R128" s="229"/>
      <c r="S128" s="228"/>
      <c r="T128" s="147"/>
      <c r="U128" s="230"/>
      <c r="V128" s="147"/>
      <c r="W128" s="147"/>
      <c r="X128" s="147"/>
      <c r="Y128" s="147"/>
      <c r="Z128" s="148"/>
      <c r="AA128" s="148"/>
      <c r="AB128" s="101"/>
      <c r="AC128" s="101"/>
      <c r="AD128" s="101"/>
      <c r="AE128" s="101"/>
      <c r="AF128" s="101"/>
      <c r="AG128" s="101"/>
      <c r="AH128" s="101"/>
      <c r="AI128" s="101"/>
      <c r="AJ128" s="101"/>
      <c r="AK128" s="101"/>
    </row>
    <row r="129" spans="1:37" s="92" customFormat="1" x14ac:dyDescent="0.3">
      <c r="A129" s="148"/>
      <c r="B129" s="223"/>
      <c r="C129" s="223"/>
      <c r="D129" s="224"/>
      <c r="E129" s="225"/>
      <c r="F129" s="226"/>
      <c r="G129" s="227"/>
      <c r="H129" s="228"/>
      <c r="I129" s="228"/>
      <c r="J129" s="229"/>
      <c r="K129" s="229"/>
      <c r="L129" s="229"/>
      <c r="M129" s="229"/>
      <c r="N129" s="229"/>
      <c r="O129" s="229"/>
      <c r="P129" s="229"/>
      <c r="Q129" s="229"/>
      <c r="R129" s="229"/>
      <c r="S129" s="228"/>
      <c r="T129" s="147"/>
      <c r="U129" s="230"/>
      <c r="V129" s="147"/>
      <c r="W129" s="147"/>
      <c r="X129" s="147"/>
      <c r="Y129" s="147"/>
      <c r="Z129" s="148"/>
      <c r="AA129" s="148"/>
      <c r="AB129" s="101"/>
      <c r="AC129" s="101"/>
      <c r="AD129" s="101"/>
      <c r="AE129" s="101"/>
      <c r="AF129" s="101"/>
      <c r="AG129" s="101"/>
      <c r="AH129" s="101"/>
      <c r="AI129" s="101"/>
      <c r="AJ129" s="101"/>
      <c r="AK129" s="101"/>
    </row>
    <row r="130" spans="1:37" s="92" customFormat="1" x14ac:dyDescent="0.3">
      <c r="A130" s="148"/>
      <c r="B130" s="223"/>
      <c r="C130" s="223"/>
      <c r="D130" s="224"/>
      <c r="E130" s="225"/>
      <c r="F130" s="226"/>
      <c r="G130" s="227"/>
      <c r="H130" s="228"/>
      <c r="I130" s="228"/>
      <c r="J130" s="229"/>
      <c r="K130" s="229"/>
      <c r="L130" s="229"/>
      <c r="M130" s="229"/>
      <c r="N130" s="229"/>
      <c r="O130" s="229"/>
      <c r="P130" s="229"/>
      <c r="Q130" s="229"/>
      <c r="R130" s="229"/>
      <c r="S130" s="228"/>
      <c r="T130" s="147"/>
      <c r="U130" s="230"/>
      <c r="V130" s="147"/>
      <c r="W130" s="147"/>
      <c r="X130" s="147"/>
      <c r="Y130" s="147"/>
      <c r="Z130" s="148"/>
      <c r="AA130" s="148"/>
      <c r="AB130" s="101"/>
      <c r="AC130" s="101"/>
      <c r="AD130" s="101"/>
      <c r="AE130" s="101"/>
      <c r="AF130" s="101"/>
      <c r="AG130" s="101"/>
      <c r="AH130" s="101"/>
      <c r="AI130" s="101"/>
      <c r="AJ130" s="101"/>
      <c r="AK130" s="101"/>
    </row>
    <row r="131" spans="1:37" s="92" customFormat="1" x14ac:dyDescent="0.3">
      <c r="A131" s="148"/>
      <c r="B131" s="223"/>
      <c r="C131" s="223"/>
      <c r="D131" s="224"/>
      <c r="E131" s="225"/>
      <c r="F131" s="226"/>
      <c r="G131" s="227"/>
      <c r="H131" s="228"/>
      <c r="I131" s="228"/>
      <c r="J131" s="229"/>
      <c r="K131" s="229"/>
      <c r="L131" s="229"/>
      <c r="M131" s="229"/>
      <c r="N131" s="229"/>
      <c r="O131" s="229"/>
      <c r="P131" s="229"/>
      <c r="Q131" s="229"/>
      <c r="R131" s="229"/>
      <c r="S131" s="228"/>
      <c r="T131" s="147"/>
      <c r="U131" s="230"/>
      <c r="V131" s="147"/>
      <c r="W131" s="147"/>
      <c r="X131" s="147"/>
      <c r="Y131" s="147"/>
      <c r="Z131" s="148"/>
      <c r="AA131" s="148"/>
      <c r="AB131" s="101"/>
      <c r="AC131" s="101"/>
      <c r="AD131" s="101"/>
      <c r="AE131" s="101"/>
      <c r="AF131" s="101"/>
      <c r="AG131" s="101"/>
      <c r="AH131" s="101"/>
      <c r="AI131" s="101"/>
      <c r="AJ131" s="101"/>
      <c r="AK131" s="101"/>
    </row>
    <row r="132" spans="1:37" s="92" customFormat="1" x14ac:dyDescent="0.3">
      <c r="A132" s="148"/>
      <c r="B132" s="223"/>
      <c r="C132" s="223"/>
      <c r="D132" s="224"/>
      <c r="E132" s="225"/>
      <c r="F132" s="226"/>
      <c r="G132" s="227"/>
      <c r="H132" s="228"/>
      <c r="I132" s="228"/>
      <c r="J132" s="229"/>
      <c r="K132" s="229"/>
      <c r="L132" s="229"/>
      <c r="M132" s="229"/>
      <c r="N132" s="229"/>
      <c r="O132" s="229"/>
      <c r="P132" s="229"/>
      <c r="Q132" s="229"/>
      <c r="R132" s="229"/>
      <c r="S132" s="228"/>
      <c r="T132" s="147"/>
      <c r="U132" s="230"/>
      <c r="V132" s="147"/>
      <c r="W132" s="147"/>
      <c r="X132" s="147"/>
      <c r="Y132" s="147"/>
      <c r="Z132" s="148"/>
      <c r="AA132" s="148"/>
      <c r="AB132" s="101"/>
      <c r="AC132" s="101"/>
      <c r="AD132" s="101"/>
      <c r="AE132" s="101"/>
      <c r="AF132" s="101"/>
      <c r="AG132" s="101"/>
      <c r="AH132" s="101"/>
      <c r="AI132" s="101"/>
      <c r="AJ132" s="101"/>
      <c r="AK132" s="101"/>
    </row>
    <row r="133" spans="1:37" s="92" customFormat="1" x14ac:dyDescent="0.3">
      <c r="A133" s="148"/>
      <c r="B133" s="223"/>
      <c r="C133" s="223"/>
      <c r="D133" s="224"/>
      <c r="E133" s="225"/>
      <c r="F133" s="226"/>
      <c r="G133" s="227"/>
      <c r="H133" s="228"/>
      <c r="I133" s="228"/>
      <c r="J133" s="229"/>
      <c r="K133" s="229"/>
      <c r="L133" s="229"/>
      <c r="M133" s="229"/>
      <c r="N133" s="229"/>
      <c r="O133" s="229"/>
      <c r="P133" s="229"/>
      <c r="Q133" s="229"/>
      <c r="R133" s="229"/>
      <c r="S133" s="228"/>
      <c r="T133" s="147"/>
      <c r="U133" s="230"/>
      <c r="V133" s="147"/>
      <c r="W133" s="147"/>
      <c r="X133" s="147"/>
      <c r="Y133" s="147"/>
      <c r="Z133" s="148"/>
      <c r="AA133" s="148"/>
      <c r="AB133" s="101"/>
      <c r="AC133" s="101"/>
      <c r="AD133" s="101"/>
      <c r="AE133" s="101"/>
      <c r="AF133" s="101"/>
      <c r="AG133" s="101"/>
      <c r="AH133" s="101"/>
      <c r="AI133" s="101"/>
      <c r="AJ133" s="101"/>
      <c r="AK133" s="101"/>
    </row>
    <row r="134" spans="1:37" s="92" customFormat="1" x14ac:dyDescent="0.3">
      <c r="A134" s="148"/>
      <c r="B134" s="223"/>
      <c r="C134" s="223"/>
      <c r="D134" s="224"/>
      <c r="E134" s="225"/>
      <c r="F134" s="226"/>
      <c r="G134" s="227"/>
      <c r="H134" s="228"/>
      <c r="I134" s="228"/>
      <c r="J134" s="229"/>
      <c r="K134" s="229"/>
      <c r="L134" s="229"/>
      <c r="M134" s="229"/>
      <c r="N134" s="229"/>
      <c r="O134" s="229"/>
      <c r="P134" s="229"/>
      <c r="Q134" s="229"/>
      <c r="R134" s="229"/>
      <c r="S134" s="228"/>
      <c r="T134" s="147"/>
      <c r="U134" s="230"/>
      <c r="V134" s="147"/>
      <c r="W134" s="147"/>
      <c r="X134" s="147"/>
      <c r="Y134" s="147"/>
      <c r="Z134" s="148"/>
      <c r="AA134" s="148"/>
      <c r="AB134" s="101"/>
      <c r="AC134" s="101"/>
      <c r="AD134" s="101"/>
      <c r="AE134" s="101"/>
      <c r="AF134" s="101"/>
      <c r="AG134" s="101"/>
      <c r="AH134" s="101"/>
      <c r="AI134" s="101"/>
      <c r="AJ134" s="101"/>
      <c r="AK134" s="101"/>
    </row>
    <row r="135" spans="1:37" s="92" customFormat="1" x14ac:dyDescent="0.3">
      <c r="A135" s="148"/>
      <c r="B135" s="223"/>
      <c r="C135" s="223"/>
      <c r="D135" s="224"/>
      <c r="E135" s="225"/>
      <c r="F135" s="226"/>
      <c r="G135" s="227"/>
      <c r="H135" s="228"/>
      <c r="I135" s="228"/>
      <c r="J135" s="229"/>
      <c r="K135" s="229"/>
      <c r="L135" s="229"/>
      <c r="M135" s="229"/>
      <c r="N135" s="229"/>
      <c r="O135" s="229"/>
      <c r="P135" s="229"/>
      <c r="Q135" s="229"/>
      <c r="R135" s="229"/>
      <c r="S135" s="228"/>
      <c r="T135" s="147"/>
      <c r="U135" s="230"/>
      <c r="V135" s="147"/>
      <c r="W135" s="147"/>
      <c r="X135" s="147"/>
      <c r="Y135" s="147"/>
      <c r="Z135" s="148"/>
      <c r="AA135" s="148"/>
      <c r="AB135" s="101"/>
      <c r="AC135" s="101"/>
      <c r="AD135" s="101"/>
      <c r="AE135" s="101"/>
      <c r="AF135" s="101"/>
      <c r="AG135" s="101"/>
      <c r="AH135" s="101"/>
      <c r="AI135" s="101"/>
      <c r="AJ135" s="101"/>
      <c r="AK135" s="101"/>
    </row>
    <row r="136" spans="1:37" s="92" customFormat="1" x14ac:dyDescent="0.3">
      <c r="A136" s="148"/>
      <c r="B136" s="223"/>
      <c r="C136" s="223"/>
      <c r="D136" s="224"/>
      <c r="E136" s="225"/>
      <c r="F136" s="226"/>
      <c r="G136" s="227"/>
      <c r="H136" s="228"/>
      <c r="I136" s="228"/>
      <c r="J136" s="229"/>
      <c r="K136" s="229"/>
      <c r="L136" s="229"/>
      <c r="M136" s="229"/>
      <c r="N136" s="229"/>
      <c r="O136" s="229"/>
      <c r="P136" s="229"/>
      <c r="Q136" s="229"/>
      <c r="R136" s="229"/>
      <c r="S136" s="228"/>
      <c r="T136" s="147"/>
      <c r="U136" s="230"/>
      <c r="V136" s="147"/>
      <c r="W136" s="147"/>
      <c r="X136" s="147"/>
      <c r="Y136" s="147"/>
      <c r="Z136" s="148"/>
      <c r="AA136" s="148"/>
      <c r="AB136" s="101"/>
      <c r="AC136" s="101"/>
      <c r="AD136" s="101"/>
      <c r="AE136" s="101"/>
      <c r="AF136" s="101"/>
      <c r="AG136" s="101"/>
      <c r="AH136" s="101"/>
      <c r="AI136" s="101"/>
      <c r="AJ136" s="101"/>
      <c r="AK136" s="101"/>
    </row>
    <row r="137" spans="1:37" s="92" customFormat="1" x14ac:dyDescent="0.3">
      <c r="A137" s="148"/>
      <c r="B137" s="223"/>
      <c r="C137" s="223"/>
      <c r="D137" s="224"/>
      <c r="E137" s="225"/>
      <c r="F137" s="226"/>
      <c r="G137" s="227"/>
      <c r="H137" s="228"/>
      <c r="I137" s="228"/>
      <c r="J137" s="229"/>
      <c r="K137" s="229"/>
      <c r="L137" s="229"/>
      <c r="M137" s="229"/>
      <c r="N137" s="229"/>
      <c r="O137" s="229"/>
      <c r="P137" s="229"/>
      <c r="Q137" s="229"/>
      <c r="R137" s="229"/>
      <c r="S137" s="228"/>
      <c r="T137" s="147"/>
      <c r="U137" s="230"/>
      <c r="V137" s="147"/>
      <c r="W137" s="147"/>
      <c r="X137" s="147"/>
      <c r="Y137" s="147"/>
      <c r="Z137" s="148"/>
      <c r="AA137" s="148"/>
      <c r="AB137" s="101"/>
      <c r="AC137" s="101"/>
      <c r="AD137" s="101"/>
      <c r="AE137" s="101"/>
      <c r="AF137" s="101"/>
      <c r="AG137" s="101"/>
      <c r="AH137" s="101"/>
      <c r="AI137" s="101"/>
      <c r="AJ137" s="101"/>
      <c r="AK137" s="101"/>
    </row>
    <row r="138" spans="1:37" s="92" customFormat="1" x14ac:dyDescent="0.3">
      <c r="A138" s="148"/>
      <c r="B138" s="223"/>
      <c r="C138" s="223"/>
      <c r="D138" s="224"/>
      <c r="E138" s="225"/>
      <c r="F138" s="226"/>
      <c r="G138" s="227"/>
      <c r="H138" s="228"/>
      <c r="I138" s="228"/>
      <c r="J138" s="229"/>
      <c r="K138" s="229"/>
      <c r="L138" s="229"/>
      <c r="M138" s="229"/>
      <c r="N138" s="229"/>
      <c r="O138" s="229"/>
      <c r="P138" s="229"/>
      <c r="Q138" s="229"/>
      <c r="R138" s="229"/>
      <c r="S138" s="228"/>
      <c r="T138" s="147"/>
      <c r="U138" s="230"/>
      <c r="V138" s="147"/>
      <c r="W138" s="147"/>
      <c r="X138" s="147"/>
      <c r="Y138" s="147"/>
      <c r="Z138" s="148"/>
      <c r="AA138" s="148"/>
      <c r="AB138" s="101"/>
      <c r="AC138" s="101"/>
      <c r="AD138" s="101"/>
      <c r="AE138" s="101"/>
      <c r="AF138" s="101"/>
      <c r="AG138" s="101"/>
      <c r="AH138" s="101"/>
      <c r="AI138" s="101"/>
      <c r="AJ138" s="101"/>
      <c r="AK138" s="101"/>
    </row>
    <row r="139" spans="1:37" s="92" customFormat="1" x14ac:dyDescent="0.3">
      <c r="A139" s="148"/>
      <c r="B139" s="223"/>
      <c r="C139" s="223"/>
      <c r="D139" s="224"/>
      <c r="E139" s="225"/>
      <c r="F139" s="226"/>
      <c r="G139" s="227"/>
      <c r="H139" s="228"/>
      <c r="I139" s="228"/>
      <c r="J139" s="229"/>
      <c r="K139" s="229"/>
      <c r="L139" s="229"/>
      <c r="M139" s="229"/>
      <c r="N139" s="229"/>
      <c r="O139" s="229"/>
      <c r="P139" s="229"/>
      <c r="Q139" s="229"/>
      <c r="R139" s="229"/>
      <c r="S139" s="228"/>
      <c r="T139" s="147"/>
      <c r="U139" s="230"/>
      <c r="V139" s="147"/>
      <c r="W139" s="147"/>
      <c r="X139" s="147"/>
      <c r="Y139" s="147"/>
      <c r="Z139" s="148"/>
      <c r="AA139" s="148"/>
      <c r="AB139" s="101"/>
      <c r="AC139" s="101"/>
      <c r="AD139" s="101"/>
      <c r="AE139" s="101"/>
      <c r="AF139" s="101"/>
      <c r="AG139" s="101"/>
      <c r="AH139" s="101"/>
      <c r="AI139" s="101"/>
      <c r="AJ139" s="101"/>
      <c r="AK139" s="101"/>
    </row>
    <row r="140" spans="1:37" s="92" customFormat="1" x14ac:dyDescent="0.3">
      <c r="A140" s="148"/>
      <c r="B140" s="223"/>
      <c r="C140" s="223"/>
      <c r="D140" s="224"/>
      <c r="E140" s="225"/>
      <c r="F140" s="226"/>
      <c r="G140" s="227"/>
      <c r="H140" s="228"/>
      <c r="I140" s="228"/>
      <c r="J140" s="229"/>
      <c r="K140" s="229"/>
      <c r="L140" s="229"/>
      <c r="M140" s="229"/>
      <c r="N140" s="229"/>
      <c r="O140" s="229"/>
      <c r="P140" s="229"/>
      <c r="Q140" s="229"/>
      <c r="R140" s="229"/>
      <c r="S140" s="228"/>
      <c r="T140" s="147"/>
      <c r="U140" s="230"/>
      <c r="V140" s="147"/>
      <c r="W140" s="147"/>
      <c r="X140" s="147"/>
      <c r="Y140" s="147"/>
      <c r="Z140" s="148"/>
      <c r="AA140" s="148"/>
      <c r="AB140" s="101"/>
      <c r="AC140" s="101"/>
      <c r="AD140" s="101"/>
      <c r="AE140" s="101"/>
      <c r="AF140" s="101"/>
      <c r="AG140" s="101"/>
      <c r="AH140" s="101"/>
      <c r="AI140" s="101"/>
      <c r="AJ140" s="101"/>
      <c r="AK140" s="101"/>
    </row>
    <row r="141" spans="1:37" s="92" customFormat="1" x14ac:dyDescent="0.3">
      <c r="A141" s="137"/>
      <c r="B141" s="138"/>
      <c r="C141" s="138"/>
      <c r="D141" s="139"/>
      <c r="E141" s="140"/>
      <c r="F141" s="141"/>
      <c r="G141" s="142"/>
      <c r="H141" s="143"/>
      <c r="I141" s="143"/>
      <c r="J141" s="144"/>
      <c r="K141" s="144"/>
      <c r="L141" s="144"/>
      <c r="M141" s="144"/>
      <c r="N141" s="144"/>
      <c r="O141" s="144"/>
      <c r="P141" s="144"/>
      <c r="Q141" s="144"/>
      <c r="R141" s="144"/>
      <c r="S141" s="143"/>
      <c r="T141" s="145"/>
      <c r="U141" s="146"/>
      <c r="V141" s="145"/>
      <c r="W141" s="147"/>
      <c r="X141" s="145"/>
      <c r="Y141" s="145"/>
      <c r="Z141" s="148"/>
      <c r="AA141" s="137"/>
    </row>
    <row r="142" spans="1:37" s="92" customFormat="1" x14ac:dyDescent="0.3">
      <c r="A142" s="137"/>
      <c r="B142" s="138"/>
      <c r="C142" s="138"/>
      <c r="D142" s="139"/>
      <c r="E142" s="140"/>
      <c r="F142" s="141"/>
      <c r="G142" s="142"/>
      <c r="H142" s="143"/>
      <c r="I142" s="143"/>
      <c r="J142" s="144"/>
      <c r="K142" s="144"/>
      <c r="L142" s="144"/>
      <c r="M142" s="144"/>
      <c r="N142" s="144"/>
      <c r="O142" s="144"/>
      <c r="P142" s="144"/>
      <c r="Q142" s="144"/>
      <c r="R142" s="144"/>
      <c r="S142" s="143"/>
      <c r="T142" s="145"/>
      <c r="U142" s="146"/>
      <c r="V142" s="145"/>
      <c r="W142" s="147"/>
      <c r="X142" s="145"/>
      <c r="Y142" s="145"/>
      <c r="Z142" s="148"/>
      <c r="AA142" s="137"/>
    </row>
    <row r="143" spans="1:37" s="92" customFormat="1" x14ac:dyDescent="0.3">
      <c r="A143" s="137"/>
      <c r="B143" s="138"/>
      <c r="C143" s="138"/>
      <c r="D143" s="139"/>
      <c r="E143" s="140"/>
      <c r="F143" s="141"/>
      <c r="G143" s="142"/>
      <c r="H143" s="143"/>
      <c r="I143" s="143"/>
      <c r="J143" s="144"/>
      <c r="K143" s="144"/>
      <c r="L143" s="144"/>
      <c r="M143" s="144"/>
      <c r="N143" s="144"/>
      <c r="O143" s="144"/>
      <c r="P143" s="144"/>
      <c r="Q143" s="144"/>
      <c r="R143" s="144"/>
      <c r="S143" s="143"/>
      <c r="T143" s="145"/>
      <c r="U143" s="146"/>
      <c r="V143" s="145"/>
      <c r="W143" s="147"/>
      <c r="X143" s="145"/>
      <c r="Y143" s="145"/>
      <c r="Z143" s="148"/>
      <c r="AA143" s="137"/>
    </row>
    <row r="144" spans="1:37" s="92" customFormat="1" x14ac:dyDescent="0.3">
      <c r="A144" s="137"/>
      <c r="B144" s="138"/>
      <c r="C144" s="138"/>
      <c r="D144" s="139"/>
      <c r="E144" s="140"/>
      <c r="F144" s="141"/>
      <c r="G144" s="142"/>
      <c r="H144" s="143"/>
      <c r="I144" s="143"/>
      <c r="J144" s="144"/>
      <c r="K144" s="144"/>
      <c r="L144" s="144"/>
      <c r="M144" s="144"/>
      <c r="N144" s="144"/>
      <c r="O144" s="144"/>
      <c r="P144" s="144"/>
      <c r="Q144" s="144"/>
      <c r="R144" s="144"/>
      <c r="S144" s="143"/>
      <c r="T144" s="145"/>
      <c r="U144" s="146"/>
      <c r="V144" s="145"/>
      <c r="W144" s="147"/>
      <c r="X144" s="145"/>
      <c r="Y144" s="145"/>
      <c r="Z144" s="148"/>
      <c r="AA144" s="137"/>
    </row>
    <row r="145" spans="1:27" s="92" customFormat="1" x14ac:dyDescent="0.3">
      <c r="A145" s="137"/>
      <c r="B145" s="138"/>
      <c r="C145" s="138"/>
      <c r="D145" s="139"/>
      <c r="E145" s="140"/>
      <c r="F145" s="141"/>
      <c r="G145" s="142"/>
      <c r="H145" s="143"/>
      <c r="I145" s="143"/>
      <c r="J145" s="144"/>
      <c r="K145" s="144"/>
      <c r="L145" s="144"/>
      <c r="M145" s="144"/>
      <c r="N145" s="144"/>
      <c r="O145" s="144"/>
      <c r="P145" s="144"/>
      <c r="Q145" s="144"/>
      <c r="R145" s="144"/>
      <c r="S145" s="143"/>
      <c r="T145" s="145"/>
      <c r="U145" s="146"/>
      <c r="V145" s="145"/>
      <c r="W145" s="147"/>
      <c r="X145" s="145"/>
      <c r="Y145" s="145"/>
      <c r="Z145" s="148"/>
      <c r="AA145" s="137"/>
    </row>
    <row r="146" spans="1:27" s="92" customFormat="1" x14ac:dyDescent="0.3">
      <c r="A146" s="137"/>
      <c r="B146" s="138"/>
      <c r="C146" s="138"/>
      <c r="D146" s="139"/>
      <c r="E146" s="140"/>
      <c r="F146" s="141"/>
      <c r="G146" s="142"/>
      <c r="H146" s="143"/>
      <c r="I146" s="143"/>
      <c r="J146" s="144"/>
      <c r="K146" s="144"/>
      <c r="L146" s="144"/>
      <c r="M146" s="144"/>
      <c r="N146" s="144"/>
      <c r="O146" s="144"/>
      <c r="P146" s="144"/>
      <c r="Q146" s="144"/>
      <c r="R146" s="144"/>
      <c r="S146" s="143"/>
      <c r="T146" s="145"/>
      <c r="U146" s="146"/>
      <c r="V146" s="145"/>
      <c r="W146" s="147"/>
      <c r="X146" s="145"/>
      <c r="Y146" s="145"/>
      <c r="Z146" s="148"/>
      <c r="AA146" s="137"/>
    </row>
    <row r="147" spans="1:27" s="92" customFormat="1" x14ac:dyDescent="0.3">
      <c r="A147" s="137"/>
      <c r="B147" s="138"/>
      <c r="C147" s="138"/>
      <c r="D147" s="139"/>
      <c r="E147" s="140"/>
      <c r="F147" s="141"/>
      <c r="G147" s="142"/>
      <c r="H147" s="143"/>
      <c r="I147" s="143"/>
      <c r="J147" s="144"/>
      <c r="K147" s="144"/>
      <c r="L147" s="144"/>
      <c r="M147" s="144"/>
      <c r="N147" s="144"/>
      <c r="O147" s="144"/>
      <c r="P147" s="144"/>
      <c r="Q147" s="144"/>
      <c r="R147" s="144"/>
      <c r="S147" s="143"/>
      <c r="T147" s="145"/>
      <c r="U147" s="146"/>
      <c r="V147" s="145"/>
      <c r="W147" s="147"/>
      <c r="X147" s="145"/>
      <c r="Y147" s="145"/>
      <c r="Z147" s="148"/>
      <c r="AA147" s="137"/>
    </row>
    <row r="148" spans="1:27" s="92" customFormat="1" x14ac:dyDescent="0.3">
      <c r="A148" s="137"/>
      <c r="B148" s="138"/>
      <c r="C148" s="138"/>
      <c r="D148" s="139"/>
      <c r="E148" s="140"/>
      <c r="F148" s="141"/>
      <c r="G148" s="142"/>
      <c r="H148" s="143"/>
      <c r="I148" s="143"/>
      <c r="J148" s="144"/>
      <c r="K148" s="144"/>
      <c r="L148" s="144"/>
      <c r="M148" s="144"/>
      <c r="N148" s="144"/>
      <c r="O148" s="144"/>
      <c r="P148" s="144"/>
      <c r="Q148" s="144"/>
      <c r="R148" s="144"/>
      <c r="S148" s="143"/>
      <c r="T148" s="145"/>
      <c r="U148" s="146"/>
      <c r="V148" s="145"/>
      <c r="W148" s="147"/>
      <c r="X148" s="145"/>
      <c r="Y148" s="145"/>
      <c r="Z148" s="148"/>
      <c r="AA148" s="137"/>
    </row>
    <row r="149" spans="1:27" s="92" customFormat="1" x14ac:dyDescent="0.3">
      <c r="A149" s="137"/>
      <c r="B149" s="138"/>
      <c r="C149" s="138"/>
      <c r="D149" s="139"/>
      <c r="E149" s="140"/>
      <c r="F149" s="141"/>
      <c r="G149" s="142"/>
      <c r="H149" s="143"/>
      <c r="I149" s="143"/>
      <c r="J149" s="144"/>
      <c r="K149" s="144"/>
      <c r="L149" s="144"/>
      <c r="M149" s="144"/>
      <c r="N149" s="144"/>
      <c r="O149" s="144"/>
      <c r="P149" s="144"/>
      <c r="Q149" s="144"/>
      <c r="R149" s="144"/>
      <c r="S149" s="143"/>
      <c r="T149" s="145"/>
      <c r="U149" s="146"/>
      <c r="V149" s="145"/>
      <c r="W149" s="147"/>
      <c r="X149" s="145"/>
      <c r="Y149" s="145"/>
      <c r="Z149" s="148"/>
      <c r="AA149" s="137"/>
    </row>
    <row r="150" spans="1:27" s="92" customFormat="1" x14ac:dyDescent="0.3">
      <c r="A150" s="137"/>
      <c r="B150" s="138"/>
      <c r="C150" s="138"/>
      <c r="D150" s="139"/>
      <c r="E150" s="140"/>
      <c r="F150" s="141"/>
      <c r="G150" s="142"/>
      <c r="H150" s="143"/>
      <c r="I150" s="143"/>
      <c r="J150" s="144"/>
      <c r="K150" s="144"/>
      <c r="L150" s="144"/>
      <c r="M150" s="144"/>
      <c r="N150" s="144"/>
      <c r="O150" s="144"/>
      <c r="P150" s="144"/>
      <c r="Q150" s="144"/>
      <c r="R150" s="144"/>
      <c r="S150" s="143"/>
      <c r="T150" s="145"/>
      <c r="U150" s="146"/>
      <c r="V150" s="145"/>
      <c r="W150" s="147"/>
      <c r="X150" s="145"/>
      <c r="Y150" s="145"/>
      <c r="Z150" s="148"/>
      <c r="AA150" s="137"/>
    </row>
    <row r="151" spans="1:27" s="92" customFormat="1" x14ac:dyDescent="0.3">
      <c r="A151" s="137"/>
      <c r="B151" s="138"/>
      <c r="C151" s="138"/>
      <c r="D151" s="139"/>
      <c r="E151" s="140"/>
      <c r="F151" s="141"/>
      <c r="G151" s="142"/>
      <c r="H151" s="143"/>
      <c r="I151" s="143"/>
      <c r="J151" s="144"/>
      <c r="K151" s="144"/>
      <c r="L151" s="144"/>
      <c r="M151" s="144"/>
      <c r="N151" s="144"/>
      <c r="O151" s="144"/>
      <c r="P151" s="144"/>
      <c r="Q151" s="144"/>
      <c r="R151" s="144"/>
      <c r="S151" s="143"/>
      <c r="T151" s="145"/>
      <c r="U151" s="146"/>
      <c r="V151" s="145"/>
      <c r="W151" s="147"/>
      <c r="X151" s="145"/>
      <c r="Y151" s="145"/>
      <c r="Z151" s="148"/>
      <c r="AA151" s="137"/>
    </row>
    <row r="152" spans="1:27" s="92" customFormat="1" x14ac:dyDescent="0.3">
      <c r="A152" s="137"/>
      <c r="B152" s="138"/>
      <c r="C152" s="138"/>
      <c r="D152" s="139"/>
      <c r="E152" s="140"/>
      <c r="F152" s="141"/>
      <c r="G152" s="142"/>
      <c r="H152" s="143"/>
      <c r="I152" s="143"/>
      <c r="J152" s="144"/>
      <c r="K152" s="144"/>
      <c r="L152" s="144"/>
      <c r="M152" s="144"/>
      <c r="N152" s="144"/>
      <c r="O152" s="144"/>
      <c r="P152" s="144"/>
      <c r="Q152" s="144"/>
      <c r="R152" s="144"/>
      <c r="S152" s="143"/>
      <c r="T152" s="145"/>
      <c r="U152" s="146"/>
      <c r="V152" s="145"/>
      <c r="W152" s="147"/>
      <c r="X152" s="145"/>
      <c r="Y152" s="145"/>
      <c r="Z152" s="148"/>
      <c r="AA152" s="137"/>
    </row>
    <row r="153" spans="1:27" s="92" customFormat="1" x14ac:dyDescent="0.3">
      <c r="A153" s="137"/>
      <c r="B153" s="138"/>
      <c r="C153" s="138"/>
      <c r="D153" s="139"/>
      <c r="E153" s="140"/>
      <c r="F153" s="141"/>
      <c r="G153" s="142"/>
      <c r="H153" s="143"/>
      <c r="I153" s="143"/>
      <c r="J153" s="144"/>
      <c r="K153" s="144"/>
      <c r="L153" s="144"/>
      <c r="M153" s="144"/>
      <c r="N153" s="144"/>
      <c r="O153" s="144"/>
      <c r="P153" s="144"/>
      <c r="Q153" s="144"/>
      <c r="R153" s="144"/>
      <c r="S153" s="143"/>
      <c r="T153" s="145"/>
      <c r="U153" s="146"/>
      <c r="V153" s="145"/>
      <c r="W153" s="147"/>
      <c r="X153" s="145"/>
      <c r="Y153" s="145"/>
      <c r="Z153" s="148"/>
      <c r="AA153" s="137"/>
    </row>
    <row r="154" spans="1:27" s="92" customFormat="1" x14ac:dyDescent="0.3">
      <c r="A154" s="137"/>
      <c r="B154" s="138"/>
      <c r="C154" s="138"/>
      <c r="D154" s="139"/>
      <c r="E154" s="140"/>
      <c r="F154" s="141"/>
      <c r="G154" s="142"/>
      <c r="H154" s="143"/>
      <c r="I154" s="143"/>
      <c r="J154" s="144"/>
      <c r="K154" s="144"/>
      <c r="L154" s="144"/>
      <c r="M154" s="144"/>
      <c r="N154" s="144"/>
      <c r="O154" s="144"/>
      <c r="P154" s="144"/>
      <c r="Q154" s="144"/>
      <c r="R154" s="144"/>
      <c r="S154" s="143"/>
      <c r="T154" s="145"/>
      <c r="U154" s="146"/>
      <c r="V154" s="145"/>
      <c r="W154" s="147"/>
      <c r="X154" s="145"/>
      <c r="Y154" s="145"/>
      <c r="Z154" s="148"/>
      <c r="AA154" s="137"/>
    </row>
    <row r="155" spans="1:27" s="92" customFormat="1" x14ac:dyDescent="0.3">
      <c r="A155" s="137"/>
      <c r="B155" s="138"/>
      <c r="C155" s="138"/>
      <c r="D155" s="139"/>
      <c r="E155" s="140"/>
      <c r="F155" s="141"/>
      <c r="G155" s="142"/>
      <c r="H155" s="143"/>
      <c r="I155" s="143"/>
      <c r="J155" s="144"/>
      <c r="K155" s="144"/>
      <c r="L155" s="144"/>
      <c r="M155" s="144"/>
      <c r="N155" s="144"/>
      <c r="O155" s="144"/>
      <c r="P155" s="144"/>
      <c r="Q155" s="144"/>
      <c r="R155" s="144"/>
      <c r="S155" s="143"/>
      <c r="T155" s="145"/>
      <c r="U155" s="146"/>
      <c r="V155" s="145"/>
      <c r="W155" s="147"/>
      <c r="X155" s="145"/>
      <c r="Y155" s="145"/>
      <c r="Z155" s="148"/>
      <c r="AA155" s="137"/>
    </row>
    <row r="156" spans="1:27" s="92" customFormat="1" x14ac:dyDescent="0.3">
      <c r="A156" s="137"/>
      <c r="B156" s="138"/>
      <c r="C156" s="138"/>
      <c r="D156" s="139"/>
      <c r="E156" s="140"/>
      <c r="F156" s="141"/>
      <c r="G156" s="142"/>
      <c r="H156" s="143"/>
      <c r="I156" s="143"/>
      <c r="J156" s="144"/>
      <c r="K156" s="144"/>
      <c r="L156" s="144"/>
      <c r="M156" s="144"/>
      <c r="N156" s="144"/>
      <c r="O156" s="144"/>
      <c r="P156" s="144"/>
      <c r="Q156" s="144"/>
      <c r="R156" s="144"/>
      <c r="S156" s="143"/>
      <c r="T156" s="145"/>
      <c r="U156" s="146"/>
      <c r="V156" s="145"/>
      <c r="W156" s="147"/>
      <c r="X156" s="145"/>
      <c r="Y156" s="145"/>
      <c r="Z156" s="148"/>
      <c r="AA156" s="137"/>
    </row>
    <row r="157" spans="1:27" s="92" customFormat="1" x14ac:dyDescent="0.3">
      <c r="A157" s="137"/>
      <c r="B157" s="138"/>
      <c r="C157" s="138"/>
      <c r="D157" s="139"/>
      <c r="E157" s="140"/>
      <c r="F157" s="141"/>
      <c r="G157" s="142"/>
      <c r="H157" s="143"/>
      <c r="I157" s="143"/>
      <c r="J157" s="144"/>
      <c r="K157" s="144"/>
      <c r="L157" s="144"/>
      <c r="M157" s="144"/>
      <c r="N157" s="144"/>
      <c r="O157" s="144"/>
      <c r="P157" s="144"/>
      <c r="Q157" s="144"/>
      <c r="R157" s="144"/>
      <c r="S157" s="143"/>
      <c r="T157" s="145"/>
      <c r="U157" s="146"/>
      <c r="V157" s="145"/>
      <c r="W157" s="147"/>
      <c r="X157" s="145"/>
      <c r="Y157" s="145"/>
      <c r="Z157" s="148"/>
      <c r="AA157" s="137"/>
    </row>
    <row r="158" spans="1:27" s="92" customFormat="1" x14ac:dyDescent="0.3">
      <c r="A158" s="137"/>
      <c r="B158" s="138"/>
      <c r="C158" s="138"/>
      <c r="D158" s="139"/>
      <c r="E158" s="140"/>
      <c r="F158" s="141"/>
      <c r="G158" s="142"/>
      <c r="H158" s="143"/>
      <c r="I158" s="143"/>
      <c r="J158" s="144"/>
      <c r="K158" s="144"/>
      <c r="L158" s="144"/>
      <c r="M158" s="144"/>
      <c r="N158" s="144"/>
      <c r="O158" s="144"/>
      <c r="P158" s="144"/>
      <c r="Q158" s="144"/>
      <c r="R158" s="144"/>
      <c r="S158" s="143"/>
      <c r="T158" s="145"/>
      <c r="U158" s="146"/>
      <c r="V158" s="145"/>
      <c r="W158" s="147"/>
      <c r="X158" s="145"/>
      <c r="Y158" s="145"/>
      <c r="Z158" s="148"/>
      <c r="AA158" s="137"/>
    </row>
    <row r="159" spans="1:27" s="92" customFormat="1" x14ac:dyDescent="0.3">
      <c r="A159" s="137"/>
      <c r="B159" s="138"/>
      <c r="C159" s="138"/>
      <c r="D159" s="139"/>
      <c r="E159" s="140"/>
      <c r="F159" s="141"/>
      <c r="G159" s="142"/>
      <c r="H159" s="143"/>
      <c r="I159" s="143"/>
      <c r="J159" s="144"/>
      <c r="K159" s="144"/>
      <c r="L159" s="144"/>
      <c r="M159" s="144"/>
      <c r="N159" s="144"/>
      <c r="O159" s="144"/>
      <c r="P159" s="144"/>
      <c r="Q159" s="144"/>
      <c r="R159" s="144"/>
      <c r="S159" s="143"/>
      <c r="T159" s="145"/>
      <c r="U159" s="146"/>
      <c r="V159" s="145"/>
      <c r="W159" s="147"/>
      <c r="X159" s="145"/>
      <c r="Y159" s="145"/>
      <c r="Z159" s="148"/>
      <c r="AA159" s="137"/>
    </row>
    <row r="160" spans="1:27" s="92" customFormat="1" x14ac:dyDescent="0.3">
      <c r="A160" s="137"/>
      <c r="B160" s="138"/>
      <c r="C160" s="138"/>
      <c r="D160" s="139"/>
      <c r="E160" s="140"/>
      <c r="F160" s="141"/>
      <c r="G160" s="142"/>
      <c r="H160" s="143"/>
      <c r="I160" s="143"/>
      <c r="J160" s="144"/>
      <c r="K160" s="144"/>
      <c r="L160" s="144"/>
      <c r="M160" s="144"/>
      <c r="N160" s="144"/>
      <c r="O160" s="144"/>
      <c r="P160" s="144"/>
      <c r="Q160" s="144"/>
      <c r="R160" s="144"/>
      <c r="S160" s="143"/>
      <c r="T160" s="145"/>
      <c r="U160" s="146"/>
      <c r="V160" s="145"/>
      <c r="W160" s="147"/>
      <c r="X160" s="145"/>
      <c r="Y160" s="145"/>
      <c r="Z160" s="148"/>
      <c r="AA160" s="137"/>
    </row>
    <row r="161" spans="1:27" s="92" customFormat="1" x14ac:dyDescent="0.3">
      <c r="A161" s="137"/>
      <c r="B161" s="138"/>
      <c r="C161" s="138"/>
      <c r="D161" s="139"/>
      <c r="E161" s="140"/>
      <c r="F161" s="141"/>
      <c r="G161" s="142"/>
      <c r="H161" s="143"/>
      <c r="I161" s="143"/>
      <c r="J161" s="144"/>
      <c r="K161" s="144"/>
      <c r="L161" s="144"/>
      <c r="M161" s="144"/>
      <c r="N161" s="144"/>
      <c r="O161" s="144"/>
      <c r="P161" s="144"/>
      <c r="Q161" s="144"/>
      <c r="R161" s="144"/>
      <c r="S161" s="143"/>
      <c r="T161" s="145"/>
      <c r="U161" s="146"/>
      <c r="V161" s="145"/>
      <c r="W161" s="147"/>
      <c r="X161" s="145"/>
      <c r="Y161" s="145"/>
      <c r="Z161" s="148"/>
      <c r="AA161" s="137"/>
    </row>
    <row r="162" spans="1:27" s="92" customFormat="1" x14ac:dyDescent="0.3">
      <c r="A162" s="137"/>
      <c r="B162" s="138"/>
      <c r="C162" s="138"/>
      <c r="D162" s="139"/>
      <c r="E162" s="140"/>
      <c r="F162" s="141"/>
      <c r="G162" s="142"/>
      <c r="H162" s="143"/>
      <c r="I162" s="143"/>
      <c r="J162" s="144"/>
      <c r="K162" s="144"/>
      <c r="L162" s="144"/>
      <c r="M162" s="144"/>
      <c r="N162" s="144"/>
      <c r="O162" s="144"/>
      <c r="P162" s="144"/>
      <c r="Q162" s="144"/>
      <c r="R162" s="144"/>
      <c r="S162" s="143"/>
      <c r="T162" s="145"/>
      <c r="U162" s="146"/>
      <c r="V162" s="145"/>
      <c r="W162" s="147"/>
      <c r="X162" s="145"/>
      <c r="Y162" s="145"/>
      <c r="Z162" s="148"/>
      <c r="AA162" s="137"/>
    </row>
    <row r="163" spans="1:27" s="92" customFormat="1" x14ac:dyDescent="0.3">
      <c r="A163" s="137"/>
      <c r="B163" s="138"/>
      <c r="C163" s="138"/>
      <c r="D163" s="139"/>
      <c r="E163" s="140"/>
      <c r="F163" s="141"/>
      <c r="G163" s="142"/>
      <c r="H163" s="143"/>
      <c r="I163" s="143"/>
      <c r="J163" s="144"/>
      <c r="K163" s="144"/>
      <c r="L163" s="144"/>
      <c r="M163" s="144"/>
      <c r="N163" s="144"/>
      <c r="O163" s="144"/>
      <c r="P163" s="144"/>
      <c r="Q163" s="144"/>
      <c r="R163" s="144"/>
      <c r="S163" s="143"/>
      <c r="T163" s="145"/>
      <c r="U163" s="146"/>
      <c r="V163" s="145"/>
      <c r="W163" s="147"/>
      <c r="X163" s="145"/>
      <c r="Y163" s="145"/>
      <c r="Z163" s="148"/>
      <c r="AA163" s="137"/>
    </row>
    <row r="164" spans="1:27" s="92" customFormat="1" x14ac:dyDescent="0.3">
      <c r="A164" s="137"/>
      <c r="B164" s="138"/>
      <c r="C164" s="138"/>
      <c r="D164" s="139"/>
      <c r="E164" s="140"/>
      <c r="F164" s="141"/>
      <c r="G164" s="142"/>
      <c r="H164" s="143"/>
      <c r="I164" s="143"/>
      <c r="J164" s="144"/>
      <c r="K164" s="144"/>
      <c r="L164" s="144"/>
      <c r="M164" s="144"/>
      <c r="N164" s="144"/>
      <c r="O164" s="144"/>
      <c r="P164" s="144"/>
      <c r="Q164" s="144"/>
      <c r="R164" s="144"/>
      <c r="S164" s="143"/>
      <c r="T164" s="145"/>
      <c r="U164" s="146"/>
      <c r="V164" s="145"/>
      <c r="W164" s="147"/>
      <c r="X164" s="145"/>
      <c r="Y164" s="145"/>
      <c r="Z164" s="148"/>
      <c r="AA164" s="137"/>
    </row>
    <row r="165" spans="1:27" s="92" customFormat="1" x14ac:dyDescent="0.3">
      <c r="A165" s="137"/>
      <c r="B165" s="138"/>
      <c r="C165" s="138"/>
      <c r="D165" s="139"/>
      <c r="E165" s="140"/>
      <c r="F165" s="141"/>
      <c r="G165" s="142"/>
      <c r="H165" s="143"/>
      <c r="I165" s="143"/>
      <c r="J165" s="144"/>
      <c r="K165" s="144"/>
      <c r="L165" s="144"/>
      <c r="M165" s="144"/>
      <c r="N165" s="144"/>
      <c r="O165" s="144"/>
      <c r="P165" s="144"/>
      <c r="Q165" s="144"/>
      <c r="R165" s="144"/>
      <c r="S165" s="143"/>
      <c r="T165" s="145"/>
      <c r="U165" s="146"/>
      <c r="V165" s="145"/>
      <c r="W165" s="147"/>
      <c r="X165" s="145"/>
      <c r="Y165" s="145"/>
      <c r="Z165" s="148"/>
      <c r="AA165" s="137"/>
    </row>
    <row r="166" spans="1:27" s="92" customFormat="1" x14ac:dyDescent="0.3">
      <c r="A166" s="137"/>
      <c r="B166" s="138"/>
      <c r="C166" s="138"/>
      <c r="D166" s="139"/>
      <c r="E166" s="140"/>
      <c r="F166" s="141"/>
      <c r="G166" s="142"/>
      <c r="H166" s="143"/>
      <c r="I166" s="143"/>
      <c r="J166" s="144"/>
      <c r="K166" s="144"/>
      <c r="L166" s="144"/>
      <c r="M166" s="144"/>
      <c r="N166" s="144"/>
      <c r="O166" s="144"/>
      <c r="P166" s="144"/>
      <c r="Q166" s="144"/>
      <c r="R166" s="144"/>
      <c r="S166" s="143"/>
      <c r="T166" s="145"/>
      <c r="U166" s="146"/>
      <c r="V166" s="145"/>
      <c r="W166" s="147"/>
      <c r="X166" s="145"/>
      <c r="Y166" s="145"/>
      <c r="Z166" s="148"/>
      <c r="AA166" s="137"/>
    </row>
    <row r="167" spans="1:27" s="92" customFormat="1" x14ac:dyDescent="0.3">
      <c r="A167" s="137"/>
      <c r="B167" s="138"/>
      <c r="C167" s="138"/>
      <c r="D167" s="139"/>
      <c r="E167" s="140"/>
      <c r="F167" s="141"/>
      <c r="G167" s="142"/>
      <c r="H167" s="143"/>
      <c r="I167" s="143"/>
      <c r="J167" s="144"/>
      <c r="K167" s="144"/>
      <c r="L167" s="144"/>
      <c r="M167" s="144"/>
      <c r="N167" s="144"/>
      <c r="O167" s="144"/>
      <c r="P167" s="144"/>
      <c r="Q167" s="144"/>
      <c r="R167" s="144"/>
      <c r="S167" s="143"/>
      <c r="T167" s="145"/>
      <c r="U167" s="146"/>
      <c r="V167" s="145"/>
      <c r="W167" s="147"/>
      <c r="X167" s="145"/>
      <c r="Y167" s="145"/>
      <c r="Z167" s="148"/>
      <c r="AA167" s="137"/>
    </row>
    <row r="168" spans="1:27" s="92" customFormat="1" x14ac:dyDescent="0.3">
      <c r="A168" s="137"/>
      <c r="B168" s="138"/>
      <c r="C168" s="138"/>
      <c r="D168" s="139"/>
      <c r="E168" s="140"/>
      <c r="F168" s="141"/>
      <c r="G168" s="142"/>
      <c r="H168" s="143"/>
      <c r="I168" s="143"/>
      <c r="J168" s="144"/>
      <c r="K168" s="144"/>
      <c r="L168" s="144"/>
      <c r="M168" s="144"/>
      <c r="N168" s="144"/>
      <c r="O168" s="144"/>
      <c r="P168" s="144"/>
      <c r="Q168" s="144"/>
      <c r="R168" s="144"/>
      <c r="S168" s="143"/>
      <c r="T168" s="145"/>
      <c r="U168" s="146"/>
      <c r="V168" s="145"/>
      <c r="W168" s="147"/>
      <c r="X168" s="145"/>
      <c r="Y168" s="145"/>
      <c r="Z168" s="148"/>
      <c r="AA168" s="137"/>
    </row>
    <row r="169" spans="1:27" s="92" customFormat="1" x14ac:dyDescent="0.3">
      <c r="A169" s="137"/>
      <c r="B169" s="138"/>
      <c r="C169" s="138"/>
      <c r="D169" s="139"/>
      <c r="E169" s="140"/>
      <c r="F169" s="141"/>
      <c r="G169" s="142"/>
      <c r="H169" s="143"/>
      <c r="I169" s="143"/>
      <c r="J169" s="144"/>
      <c r="K169" s="144"/>
      <c r="L169" s="144"/>
      <c r="M169" s="144"/>
      <c r="N169" s="144"/>
      <c r="O169" s="144"/>
      <c r="P169" s="144"/>
      <c r="Q169" s="144"/>
      <c r="R169" s="144"/>
      <c r="S169" s="143"/>
      <c r="T169" s="145"/>
      <c r="U169" s="146"/>
      <c r="V169" s="145"/>
      <c r="W169" s="147"/>
      <c r="X169" s="145"/>
      <c r="Y169" s="145"/>
      <c r="Z169" s="148"/>
      <c r="AA169" s="137"/>
    </row>
    <row r="170" spans="1:27" s="92" customFormat="1" x14ac:dyDescent="0.3">
      <c r="A170" s="137"/>
      <c r="B170" s="138"/>
      <c r="C170" s="138"/>
      <c r="D170" s="139"/>
      <c r="E170" s="140"/>
      <c r="F170" s="141"/>
      <c r="G170" s="142"/>
      <c r="H170" s="143"/>
      <c r="I170" s="143"/>
      <c r="J170" s="144"/>
      <c r="K170" s="144"/>
      <c r="L170" s="144"/>
      <c r="M170" s="144"/>
      <c r="N170" s="144"/>
      <c r="O170" s="144"/>
      <c r="P170" s="144"/>
      <c r="Q170" s="144"/>
      <c r="R170" s="144"/>
      <c r="S170" s="143"/>
      <c r="T170" s="145"/>
      <c r="U170" s="146"/>
      <c r="V170" s="145"/>
      <c r="W170" s="147"/>
      <c r="X170" s="145"/>
      <c r="Y170" s="145"/>
      <c r="Z170" s="148"/>
      <c r="AA170" s="137"/>
    </row>
    <row r="171" spans="1:27" s="92" customFormat="1" x14ac:dyDescent="0.3">
      <c r="A171" s="137"/>
      <c r="B171" s="138"/>
      <c r="C171" s="138"/>
      <c r="D171" s="139"/>
      <c r="E171" s="140"/>
      <c r="F171" s="141"/>
      <c r="G171" s="142"/>
      <c r="H171" s="143"/>
      <c r="I171" s="143"/>
      <c r="J171" s="144"/>
      <c r="K171" s="144"/>
      <c r="L171" s="144"/>
      <c r="M171" s="144"/>
      <c r="N171" s="144"/>
      <c r="O171" s="144"/>
      <c r="P171" s="144"/>
      <c r="Q171" s="144"/>
      <c r="R171" s="144"/>
      <c r="S171" s="143"/>
      <c r="T171" s="145"/>
      <c r="U171" s="146"/>
      <c r="V171" s="145"/>
      <c r="W171" s="147"/>
      <c r="X171" s="145"/>
      <c r="Y171" s="145"/>
      <c r="Z171" s="148"/>
      <c r="AA171" s="137"/>
    </row>
    <row r="172" spans="1:27" s="92" customFormat="1" x14ac:dyDescent="0.3">
      <c r="A172" s="137"/>
      <c r="B172" s="138"/>
      <c r="C172" s="138"/>
      <c r="D172" s="139"/>
      <c r="E172" s="140"/>
      <c r="F172" s="141"/>
      <c r="G172" s="142"/>
      <c r="H172" s="143"/>
      <c r="I172" s="143"/>
      <c r="J172" s="144"/>
      <c r="K172" s="144"/>
      <c r="L172" s="144"/>
      <c r="M172" s="144"/>
      <c r="N172" s="144"/>
      <c r="O172" s="144"/>
      <c r="P172" s="144"/>
      <c r="Q172" s="144"/>
      <c r="R172" s="144"/>
      <c r="S172" s="143"/>
      <c r="T172" s="145"/>
      <c r="U172" s="146"/>
      <c r="V172" s="145"/>
      <c r="W172" s="147"/>
      <c r="X172" s="145"/>
      <c r="Y172" s="145"/>
      <c r="Z172" s="148"/>
      <c r="AA172" s="137"/>
    </row>
    <row r="173" spans="1:27" s="92" customFormat="1" x14ac:dyDescent="0.3">
      <c r="A173" s="137"/>
      <c r="B173" s="138"/>
      <c r="C173" s="138"/>
      <c r="D173" s="139"/>
      <c r="E173" s="140"/>
      <c r="F173" s="141"/>
      <c r="G173" s="142"/>
      <c r="H173" s="143"/>
      <c r="I173" s="143"/>
      <c r="J173" s="144"/>
      <c r="K173" s="144"/>
      <c r="L173" s="144"/>
      <c r="M173" s="144"/>
      <c r="N173" s="144"/>
      <c r="O173" s="144"/>
      <c r="P173" s="144"/>
      <c r="Q173" s="144"/>
      <c r="R173" s="144"/>
      <c r="S173" s="143"/>
      <c r="T173" s="145"/>
      <c r="U173" s="146"/>
      <c r="V173" s="145"/>
      <c r="W173" s="147"/>
      <c r="X173" s="145"/>
      <c r="Y173" s="145"/>
      <c r="Z173" s="148"/>
      <c r="AA173" s="137"/>
    </row>
    <row r="174" spans="1:27" s="92" customFormat="1" x14ac:dyDescent="0.3">
      <c r="A174" s="137"/>
      <c r="B174" s="138"/>
      <c r="C174" s="138"/>
      <c r="D174" s="139"/>
      <c r="E174" s="140"/>
      <c r="F174" s="141"/>
      <c r="G174" s="142"/>
      <c r="H174" s="143"/>
      <c r="I174" s="143"/>
      <c r="J174" s="144"/>
      <c r="K174" s="144"/>
      <c r="L174" s="144"/>
      <c r="M174" s="144"/>
      <c r="N174" s="144"/>
      <c r="O174" s="144"/>
      <c r="P174" s="144"/>
      <c r="Q174" s="144"/>
      <c r="R174" s="144"/>
      <c r="S174" s="143"/>
      <c r="T174" s="145"/>
      <c r="U174" s="146"/>
      <c r="V174" s="145"/>
      <c r="W174" s="147"/>
      <c r="X174" s="145"/>
      <c r="Y174" s="145"/>
      <c r="Z174" s="148"/>
      <c r="AA174" s="137"/>
    </row>
    <row r="175" spans="1:27" s="92" customFormat="1" x14ac:dyDescent="0.3">
      <c r="A175" s="137"/>
      <c r="B175" s="138"/>
      <c r="C175" s="138"/>
      <c r="D175" s="139"/>
      <c r="E175" s="140"/>
      <c r="F175" s="141"/>
      <c r="G175" s="142"/>
      <c r="H175" s="143"/>
      <c r="I175" s="143"/>
      <c r="J175" s="144"/>
      <c r="K175" s="144"/>
      <c r="L175" s="144"/>
      <c r="M175" s="144"/>
      <c r="N175" s="144"/>
      <c r="O175" s="144"/>
      <c r="P175" s="144"/>
      <c r="Q175" s="144"/>
      <c r="R175" s="144"/>
      <c r="S175" s="143"/>
      <c r="T175" s="145"/>
      <c r="U175" s="146"/>
      <c r="V175" s="145"/>
      <c r="W175" s="147"/>
      <c r="X175" s="145"/>
      <c r="Y175" s="145"/>
      <c r="Z175" s="148"/>
      <c r="AA175" s="137"/>
    </row>
    <row r="176" spans="1:27" s="92" customFormat="1" x14ac:dyDescent="0.3">
      <c r="A176" s="137"/>
      <c r="B176" s="138"/>
      <c r="C176" s="138"/>
      <c r="D176" s="139"/>
      <c r="E176" s="140"/>
      <c r="F176" s="141"/>
      <c r="G176" s="142"/>
      <c r="H176" s="143"/>
      <c r="I176" s="143"/>
      <c r="J176" s="144"/>
      <c r="K176" s="144"/>
      <c r="L176" s="144"/>
      <c r="M176" s="144"/>
      <c r="N176" s="144"/>
      <c r="O176" s="144"/>
      <c r="P176" s="144"/>
      <c r="Q176" s="144"/>
      <c r="R176" s="144"/>
      <c r="S176" s="143"/>
      <c r="T176" s="145"/>
      <c r="U176" s="146"/>
      <c r="V176" s="145"/>
      <c r="W176" s="147"/>
      <c r="X176" s="145"/>
      <c r="Y176" s="145"/>
      <c r="Z176" s="148"/>
      <c r="AA176" s="137"/>
    </row>
    <row r="177" spans="1:27" s="92" customFormat="1" x14ac:dyDescent="0.3">
      <c r="A177" s="137"/>
      <c r="B177" s="138"/>
      <c r="C177" s="138"/>
      <c r="D177" s="139"/>
      <c r="E177" s="140"/>
      <c r="F177" s="141"/>
      <c r="G177" s="142"/>
      <c r="H177" s="143"/>
      <c r="I177" s="143"/>
      <c r="J177" s="144"/>
      <c r="K177" s="144"/>
      <c r="L177" s="144"/>
      <c r="M177" s="144"/>
      <c r="N177" s="144"/>
      <c r="O177" s="144"/>
      <c r="P177" s="144"/>
      <c r="Q177" s="144"/>
      <c r="R177" s="144"/>
      <c r="S177" s="143"/>
      <c r="T177" s="145"/>
      <c r="U177" s="146"/>
      <c r="V177" s="145"/>
      <c r="W177" s="147"/>
      <c r="X177" s="145"/>
      <c r="Y177" s="145"/>
      <c r="Z177" s="148"/>
      <c r="AA177" s="137"/>
    </row>
    <row r="178" spans="1:27" s="92" customFormat="1" x14ac:dyDescent="0.3">
      <c r="A178" s="137"/>
      <c r="B178" s="138"/>
      <c r="C178" s="138"/>
      <c r="D178" s="139"/>
      <c r="E178" s="140"/>
      <c r="F178" s="141"/>
      <c r="G178" s="142"/>
      <c r="H178" s="143"/>
      <c r="I178" s="143"/>
      <c r="J178" s="144"/>
      <c r="K178" s="144"/>
      <c r="L178" s="144"/>
      <c r="M178" s="144"/>
      <c r="N178" s="144"/>
      <c r="O178" s="144"/>
      <c r="P178" s="144"/>
      <c r="Q178" s="144"/>
      <c r="R178" s="144"/>
      <c r="S178" s="143"/>
      <c r="T178" s="145"/>
      <c r="U178" s="146"/>
      <c r="V178" s="145"/>
      <c r="W178" s="147"/>
      <c r="X178" s="145"/>
      <c r="Y178" s="145"/>
      <c r="Z178" s="148"/>
      <c r="AA178" s="137"/>
    </row>
    <row r="179" spans="1:27" s="92" customFormat="1" x14ac:dyDescent="0.3">
      <c r="A179" s="137"/>
      <c r="B179" s="138"/>
      <c r="C179" s="138"/>
      <c r="D179" s="139"/>
      <c r="E179" s="140"/>
      <c r="F179" s="141"/>
      <c r="G179" s="142"/>
      <c r="H179" s="143"/>
      <c r="I179" s="143"/>
      <c r="J179" s="144"/>
      <c r="K179" s="144"/>
      <c r="L179" s="144"/>
      <c r="M179" s="144"/>
      <c r="N179" s="144"/>
      <c r="O179" s="144"/>
      <c r="P179" s="144"/>
      <c r="Q179" s="144"/>
      <c r="R179" s="144"/>
      <c r="S179" s="143"/>
      <c r="T179" s="145"/>
      <c r="U179" s="146"/>
      <c r="V179" s="145"/>
      <c r="W179" s="147"/>
      <c r="X179" s="145"/>
      <c r="Y179" s="145"/>
      <c r="Z179" s="148"/>
      <c r="AA179" s="137"/>
    </row>
    <row r="180" spans="1:27" s="92" customFormat="1" x14ac:dyDescent="0.3">
      <c r="A180" s="137"/>
      <c r="B180" s="138"/>
      <c r="C180" s="138"/>
      <c r="D180" s="139"/>
      <c r="E180" s="140"/>
      <c r="F180" s="141"/>
      <c r="G180" s="142"/>
      <c r="H180" s="143"/>
      <c r="I180" s="143"/>
      <c r="J180" s="144"/>
      <c r="K180" s="144"/>
      <c r="L180" s="144"/>
      <c r="M180" s="144"/>
      <c r="N180" s="144"/>
      <c r="O180" s="144"/>
      <c r="P180" s="144"/>
      <c r="Q180" s="144"/>
      <c r="R180" s="144"/>
      <c r="S180" s="143"/>
      <c r="T180" s="145"/>
      <c r="U180" s="146"/>
      <c r="V180" s="145"/>
      <c r="W180" s="147"/>
      <c r="X180" s="145"/>
      <c r="Y180" s="145"/>
      <c r="Z180" s="148"/>
      <c r="AA180" s="137"/>
    </row>
    <row r="181" spans="1:27" s="92" customFormat="1" x14ac:dyDescent="0.3">
      <c r="A181" s="137"/>
      <c r="B181" s="138"/>
      <c r="C181" s="138"/>
      <c r="D181" s="139"/>
      <c r="E181" s="140"/>
      <c r="F181" s="141"/>
      <c r="G181" s="142"/>
      <c r="H181" s="143"/>
      <c r="I181" s="143"/>
      <c r="J181" s="144"/>
      <c r="K181" s="144"/>
      <c r="L181" s="144"/>
      <c r="M181" s="144"/>
      <c r="N181" s="144"/>
      <c r="O181" s="144"/>
      <c r="P181" s="144"/>
      <c r="Q181" s="144"/>
      <c r="R181" s="144"/>
      <c r="S181" s="143"/>
      <c r="T181" s="145"/>
      <c r="U181" s="146"/>
      <c r="V181" s="145"/>
      <c r="W181" s="147"/>
      <c r="X181" s="145"/>
      <c r="Y181" s="145"/>
      <c r="Z181" s="148"/>
      <c r="AA181" s="137"/>
    </row>
    <row r="182" spans="1:27" s="92" customFormat="1" x14ac:dyDescent="0.3">
      <c r="A182" s="137"/>
      <c r="B182" s="138"/>
      <c r="C182" s="138"/>
      <c r="D182" s="139"/>
      <c r="E182" s="140"/>
      <c r="F182" s="141"/>
      <c r="G182" s="142"/>
      <c r="H182" s="143"/>
      <c r="I182" s="143"/>
      <c r="J182" s="144"/>
      <c r="K182" s="144"/>
      <c r="L182" s="144"/>
      <c r="M182" s="144"/>
      <c r="N182" s="144"/>
      <c r="O182" s="144"/>
      <c r="P182" s="144"/>
      <c r="Q182" s="144"/>
      <c r="R182" s="144"/>
      <c r="S182" s="143"/>
      <c r="T182" s="145"/>
      <c r="U182" s="146"/>
      <c r="V182" s="145"/>
      <c r="W182" s="147"/>
      <c r="X182" s="145"/>
      <c r="Y182" s="145"/>
      <c r="Z182" s="148"/>
      <c r="AA182" s="137"/>
    </row>
    <row r="183" spans="1:27" s="92" customFormat="1" x14ac:dyDescent="0.3">
      <c r="A183" s="137"/>
      <c r="B183" s="138"/>
      <c r="C183" s="138"/>
      <c r="D183" s="139"/>
      <c r="E183" s="140"/>
      <c r="F183" s="141"/>
      <c r="G183" s="142"/>
      <c r="H183" s="143"/>
      <c r="I183" s="143"/>
      <c r="J183" s="144"/>
      <c r="K183" s="144"/>
      <c r="L183" s="144"/>
      <c r="M183" s="144"/>
      <c r="N183" s="144"/>
      <c r="O183" s="144"/>
      <c r="P183" s="144"/>
      <c r="Q183" s="144"/>
      <c r="R183" s="144"/>
      <c r="S183" s="143"/>
      <c r="T183" s="145"/>
      <c r="U183" s="146"/>
      <c r="V183" s="145"/>
      <c r="W183" s="147"/>
      <c r="X183" s="145"/>
      <c r="Y183" s="145"/>
      <c r="Z183" s="148"/>
      <c r="AA183" s="137"/>
    </row>
    <row r="184" spans="1:27" s="92" customFormat="1" x14ac:dyDescent="0.3">
      <c r="A184" s="137"/>
      <c r="B184" s="138"/>
      <c r="C184" s="138"/>
      <c r="D184" s="139"/>
      <c r="E184" s="140"/>
      <c r="F184" s="141"/>
      <c r="G184" s="142"/>
      <c r="H184" s="143"/>
      <c r="I184" s="143"/>
      <c r="J184" s="144"/>
      <c r="K184" s="144"/>
      <c r="L184" s="144"/>
      <c r="M184" s="144"/>
      <c r="N184" s="144"/>
      <c r="O184" s="144"/>
      <c r="P184" s="144"/>
      <c r="Q184" s="144"/>
      <c r="R184" s="144"/>
      <c r="S184" s="143"/>
      <c r="T184" s="145"/>
      <c r="U184" s="146"/>
      <c r="V184" s="145"/>
      <c r="W184" s="147"/>
      <c r="X184" s="145"/>
      <c r="Y184" s="145"/>
      <c r="Z184" s="148"/>
      <c r="AA184" s="137"/>
    </row>
    <row r="185" spans="1:27" s="92" customFormat="1" x14ac:dyDescent="0.3">
      <c r="A185" s="137"/>
      <c r="B185" s="138"/>
      <c r="C185" s="138"/>
      <c r="D185" s="139"/>
      <c r="E185" s="140"/>
      <c r="F185" s="141"/>
      <c r="G185" s="142"/>
      <c r="H185" s="143"/>
      <c r="I185" s="143"/>
      <c r="J185" s="144"/>
      <c r="K185" s="144"/>
      <c r="L185" s="144"/>
      <c r="M185" s="144"/>
      <c r="N185" s="144"/>
      <c r="O185" s="144"/>
      <c r="P185" s="144"/>
      <c r="Q185" s="144"/>
      <c r="R185" s="144"/>
      <c r="S185" s="143"/>
      <c r="T185" s="145"/>
      <c r="U185" s="146"/>
      <c r="V185" s="145"/>
      <c r="W185" s="147"/>
      <c r="X185" s="145"/>
      <c r="Y185" s="145"/>
      <c r="Z185" s="148"/>
      <c r="AA185" s="137"/>
    </row>
    <row r="186" spans="1:27" s="92" customFormat="1" x14ac:dyDescent="0.3">
      <c r="A186" s="137"/>
      <c r="B186" s="138"/>
      <c r="C186" s="138"/>
      <c r="D186" s="139"/>
      <c r="E186" s="140"/>
      <c r="F186" s="141"/>
      <c r="G186" s="142"/>
      <c r="H186" s="143"/>
      <c r="I186" s="143"/>
      <c r="J186" s="144"/>
      <c r="K186" s="144"/>
      <c r="L186" s="144"/>
      <c r="M186" s="144"/>
      <c r="N186" s="144"/>
      <c r="O186" s="144"/>
      <c r="P186" s="144"/>
      <c r="Q186" s="144"/>
      <c r="R186" s="144"/>
      <c r="S186" s="143"/>
      <c r="T186" s="145"/>
      <c r="U186" s="146"/>
      <c r="V186" s="145"/>
      <c r="W186" s="147"/>
      <c r="X186" s="145"/>
      <c r="Y186" s="145"/>
      <c r="Z186" s="148"/>
      <c r="AA186" s="137"/>
    </row>
    <row r="187" spans="1:27" s="92" customFormat="1" x14ac:dyDescent="0.3">
      <c r="A187" s="137"/>
      <c r="B187" s="138"/>
      <c r="C187" s="138"/>
      <c r="D187" s="139"/>
      <c r="E187" s="140"/>
      <c r="F187" s="141"/>
      <c r="G187" s="142"/>
      <c r="H187" s="143"/>
      <c r="I187" s="143"/>
      <c r="J187" s="144"/>
      <c r="K187" s="144"/>
      <c r="L187" s="144"/>
      <c r="M187" s="144"/>
      <c r="N187" s="144"/>
      <c r="O187" s="144"/>
      <c r="P187" s="144"/>
      <c r="Q187" s="144"/>
      <c r="R187" s="144"/>
      <c r="S187" s="143"/>
      <c r="T187" s="145"/>
      <c r="U187" s="146"/>
      <c r="V187" s="145"/>
      <c r="W187" s="147"/>
      <c r="X187" s="145"/>
      <c r="Y187" s="145"/>
      <c r="Z187" s="148"/>
      <c r="AA187" s="137"/>
    </row>
    <row r="188" spans="1:27" s="92" customFormat="1" x14ac:dyDescent="0.3">
      <c r="A188" s="137"/>
      <c r="B188" s="138"/>
      <c r="C188" s="138"/>
      <c r="D188" s="139"/>
      <c r="E188" s="140"/>
      <c r="F188" s="141"/>
      <c r="G188" s="142"/>
      <c r="H188" s="143"/>
      <c r="I188" s="143"/>
      <c r="J188" s="144"/>
      <c r="K188" s="144"/>
      <c r="L188" s="144"/>
      <c r="M188" s="144"/>
      <c r="N188" s="144"/>
      <c r="O188" s="144"/>
      <c r="P188" s="144"/>
      <c r="Q188" s="144"/>
      <c r="R188" s="144"/>
      <c r="S188" s="143"/>
      <c r="T188" s="145"/>
      <c r="U188" s="146"/>
      <c r="V188" s="145"/>
      <c r="W188" s="147"/>
      <c r="X188" s="145"/>
      <c r="Y188" s="145"/>
      <c r="Z188" s="148"/>
      <c r="AA188" s="137"/>
    </row>
    <row r="189" spans="1:27" s="92" customFormat="1" x14ac:dyDescent="0.3">
      <c r="A189" s="137"/>
      <c r="B189" s="138"/>
      <c r="C189" s="138"/>
      <c r="D189" s="139"/>
      <c r="E189" s="140"/>
      <c r="F189" s="141"/>
      <c r="G189" s="142"/>
      <c r="H189" s="143"/>
      <c r="I189" s="143"/>
      <c r="J189" s="144"/>
      <c r="K189" s="144"/>
      <c r="L189" s="144"/>
      <c r="M189" s="144"/>
      <c r="N189" s="144"/>
      <c r="O189" s="144"/>
      <c r="P189" s="144"/>
      <c r="Q189" s="144"/>
      <c r="R189" s="144"/>
      <c r="S189" s="143"/>
      <c r="T189" s="145"/>
      <c r="U189" s="146"/>
      <c r="V189" s="145"/>
      <c r="W189" s="147"/>
      <c r="X189" s="145"/>
      <c r="Y189" s="145"/>
      <c r="Z189" s="148"/>
      <c r="AA189" s="137"/>
    </row>
    <row r="190" spans="1:27" s="92" customFormat="1" x14ac:dyDescent="0.3">
      <c r="A190" s="137"/>
      <c r="B190" s="138"/>
      <c r="C190" s="138"/>
      <c r="D190" s="139"/>
      <c r="E190" s="140"/>
      <c r="F190" s="141"/>
      <c r="G190" s="142"/>
      <c r="H190" s="143"/>
      <c r="I190" s="143"/>
      <c r="J190" s="144"/>
      <c r="K190" s="144"/>
      <c r="L190" s="144"/>
      <c r="M190" s="144"/>
      <c r="N190" s="144"/>
      <c r="O190" s="144"/>
      <c r="P190" s="144"/>
      <c r="Q190" s="144"/>
      <c r="R190" s="144"/>
      <c r="S190" s="143"/>
      <c r="T190" s="145"/>
      <c r="U190" s="146"/>
      <c r="V190" s="145"/>
      <c r="W190" s="147"/>
      <c r="X190" s="145"/>
      <c r="Y190" s="145"/>
      <c r="Z190" s="148"/>
      <c r="AA190" s="137"/>
    </row>
    <row r="191" spans="1:27" s="92" customFormat="1" x14ac:dyDescent="0.3">
      <c r="A191" s="137"/>
      <c r="B191" s="138"/>
      <c r="C191" s="138"/>
      <c r="D191" s="139"/>
      <c r="E191" s="140"/>
      <c r="F191" s="141"/>
      <c r="G191" s="142"/>
      <c r="H191" s="143"/>
      <c r="I191" s="143"/>
      <c r="J191" s="144"/>
      <c r="K191" s="144"/>
      <c r="L191" s="144"/>
      <c r="M191" s="144"/>
      <c r="N191" s="144"/>
      <c r="O191" s="144"/>
      <c r="P191" s="144"/>
      <c r="Q191" s="144"/>
      <c r="R191" s="144"/>
      <c r="S191" s="143"/>
      <c r="T191" s="145"/>
      <c r="U191" s="146"/>
      <c r="V191" s="145"/>
      <c r="W191" s="147"/>
      <c r="X191" s="145"/>
      <c r="Y191" s="145"/>
      <c r="Z191" s="148"/>
      <c r="AA191" s="137"/>
    </row>
    <row r="192" spans="1:27" s="92" customFormat="1" x14ac:dyDescent="0.3">
      <c r="A192" s="137"/>
      <c r="B192" s="138"/>
      <c r="C192" s="138"/>
      <c r="D192" s="139"/>
      <c r="E192" s="140"/>
      <c r="F192" s="141"/>
      <c r="G192" s="142"/>
      <c r="H192" s="143"/>
      <c r="I192" s="143"/>
      <c r="J192" s="144"/>
      <c r="K192" s="144"/>
      <c r="L192" s="144"/>
      <c r="M192" s="144"/>
      <c r="N192" s="144"/>
      <c r="O192" s="144"/>
      <c r="P192" s="144"/>
      <c r="Q192" s="144"/>
      <c r="R192" s="144"/>
      <c r="S192" s="143"/>
      <c r="T192" s="145"/>
      <c r="U192" s="146"/>
      <c r="V192" s="145"/>
      <c r="W192" s="147"/>
      <c r="X192" s="145"/>
      <c r="Y192" s="145"/>
      <c r="Z192" s="148"/>
      <c r="AA192" s="137"/>
    </row>
    <row r="193" spans="1:27" s="92" customFormat="1" x14ac:dyDescent="0.3">
      <c r="A193" s="137"/>
      <c r="B193" s="138"/>
      <c r="C193" s="138"/>
      <c r="D193" s="139"/>
      <c r="E193" s="140"/>
      <c r="F193" s="141"/>
      <c r="G193" s="142"/>
      <c r="H193" s="143"/>
      <c r="I193" s="143"/>
      <c r="J193" s="144"/>
      <c r="K193" s="144"/>
      <c r="L193" s="144"/>
      <c r="M193" s="144"/>
      <c r="N193" s="144"/>
      <c r="O193" s="144"/>
      <c r="P193" s="144"/>
      <c r="Q193" s="144"/>
      <c r="R193" s="144"/>
      <c r="S193" s="143"/>
      <c r="T193" s="145"/>
      <c r="U193" s="146"/>
      <c r="V193" s="145"/>
      <c r="W193" s="147"/>
      <c r="X193" s="145"/>
      <c r="Y193" s="145"/>
      <c r="Z193" s="148"/>
      <c r="AA193" s="137"/>
    </row>
    <row r="194" spans="1:27" s="92" customFormat="1" x14ac:dyDescent="0.3">
      <c r="A194" s="137"/>
      <c r="B194" s="138"/>
      <c r="C194" s="138"/>
      <c r="D194" s="139"/>
      <c r="E194" s="140"/>
      <c r="F194" s="141"/>
      <c r="G194" s="142"/>
      <c r="H194" s="143"/>
      <c r="I194" s="143"/>
      <c r="J194" s="144"/>
      <c r="K194" s="144"/>
      <c r="L194" s="144"/>
      <c r="M194" s="144"/>
      <c r="N194" s="144"/>
      <c r="O194" s="144"/>
      <c r="P194" s="144"/>
      <c r="Q194" s="144"/>
      <c r="R194" s="144"/>
      <c r="S194" s="143"/>
      <c r="T194" s="145"/>
      <c r="U194" s="146"/>
      <c r="V194" s="145"/>
      <c r="W194" s="147"/>
      <c r="X194" s="145"/>
      <c r="Y194" s="145"/>
      <c r="Z194" s="148"/>
      <c r="AA194" s="137"/>
    </row>
    <row r="195" spans="1:27" s="92" customFormat="1" x14ac:dyDescent="0.3">
      <c r="A195" s="137"/>
      <c r="B195" s="138"/>
      <c r="C195" s="138"/>
      <c r="D195" s="139"/>
      <c r="E195" s="140"/>
      <c r="F195" s="141"/>
      <c r="G195" s="142"/>
      <c r="H195" s="143"/>
      <c r="I195" s="143"/>
      <c r="J195" s="144"/>
      <c r="K195" s="144"/>
      <c r="L195" s="144"/>
      <c r="M195" s="144"/>
      <c r="N195" s="144"/>
      <c r="O195" s="144"/>
      <c r="P195" s="144"/>
      <c r="Q195" s="144"/>
      <c r="R195" s="144"/>
      <c r="S195" s="143"/>
      <c r="T195" s="145"/>
      <c r="U195" s="146"/>
      <c r="V195" s="145"/>
      <c r="W195" s="147"/>
      <c r="X195" s="145"/>
      <c r="Y195" s="145"/>
      <c r="Z195" s="148"/>
      <c r="AA195" s="137"/>
    </row>
    <row r="196" spans="1:27" s="92" customFormat="1" x14ac:dyDescent="0.3">
      <c r="A196" s="137"/>
      <c r="B196" s="138"/>
      <c r="C196" s="138"/>
      <c r="D196" s="139"/>
      <c r="E196" s="140"/>
      <c r="F196" s="141"/>
      <c r="G196" s="142"/>
      <c r="H196" s="143"/>
      <c r="I196" s="143"/>
      <c r="J196" s="144"/>
      <c r="K196" s="144"/>
      <c r="L196" s="144"/>
      <c r="M196" s="144"/>
      <c r="N196" s="144"/>
      <c r="O196" s="144"/>
      <c r="P196" s="144"/>
      <c r="Q196" s="144"/>
      <c r="R196" s="144"/>
      <c r="S196" s="143"/>
      <c r="T196" s="145"/>
      <c r="U196" s="146"/>
      <c r="V196" s="145"/>
      <c r="W196" s="147"/>
      <c r="X196" s="145"/>
      <c r="Y196" s="145"/>
      <c r="Z196" s="148"/>
      <c r="AA196" s="137"/>
    </row>
    <row r="197" spans="1:27" s="92" customFormat="1" x14ac:dyDescent="0.3">
      <c r="A197" s="137"/>
      <c r="B197" s="138"/>
      <c r="C197" s="138"/>
      <c r="D197" s="139"/>
      <c r="E197" s="140"/>
      <c r="F197" s="141"/>
      <c r="G197" s="142"/>
      <c r="H197" s="143"/>
      <c r="I197" s="143"/>
      <c r="J197" s="144"/>
      <c r="K197" s="144"/>
      <c r="L197" s="144"/>
      <c r="M197" s="144"/>
      <c r="N197" s="144"/>
      <c r="O197" s="144"/>
      <c r="P197" s="144"/>
      <c r="Q197" s="144"/>
      <c r="R197" s="144"/>
      <c r="S197" s="143"/>
      <c r="T197" s="145"/>
      <c r="U197" s="146"/>
      <c r="V197" s="145"/>
      <c r="W197" s="147"/>
      <c r="X197" s="145"/>
      <c r="Y197" s="145"/>
      <c r="Z197" s="148"/>
      <c r="AA197" s="137"/>
    </row>
    <row r="198" spans="1:27" s="92" customFormat="1" x14ac:dyDescent="0.3">
      <c r="A198" s="137"/>
      <c r="B198" s="138"/>
      <c r="C198" s="138"/>
      <c r="D198" s="139"/>
      <c r="E198" s="140"/>
      <c r="F198" s="141"/>
      <c r="G198" s="142"/>
      <c r="H198" s="143"/>
      <c r="I198" s="143"/>
      <c r="J198" s="144"/>
      <c r="K198" s="144"/>
      <c r="L198" s="144"/>
      <c r="M198" s="144"/>
      <c r="N198" s="144"/>
      <c r="O198" s="144"/>
      <c r="P198" s="144"/>
      <c r="Q198" s="144"/>
      <c r="R198" s="144"/>
      <c r="S198" s="143"/>
      <c r="T198" s="145"/>
      <c r="U198" s="146"/>
      <c r="V198" s="145"/>
      <c r="W198" s="147"/>
      <c r="X198" s="145"/>
      <c r="Y198" s="145"/>
      <c r="Z198" s="148"/>
      <c r="AA198" s="137"/>
    </row>
    <row r="199" spans="1:27" s="92" customFormat="1" x14ac:dyDescent="0.3">
      <c r="A199" s="137"/>
      <c r="B199" s="138"/>
      <c r="C199" s="138"/>
      <c r="D199" s="139"/>
      <c r="E199" s="140"/>
      <c r="F199" s="141"/>
      <c r="G199" s="142"/>
      <c r="H199" s="143"/>
      <c r="I199" s="143"/>
      <c r="J199" s="144"/>
      <c r="K199" s="144"/>
      <c r="L199" s="144"/>
      <c r="M199" s="144"/>
      <c r="N199" s="144"/>
      <c r="O199" s="144"/>
      <c r="P199" s="144"/>
      <c r="Q199" s="144"/>
      <c r="R199" s="144"/>
      <c r="S199" s="143"/>
      <c r="T199" s="145"/>
      <c r="U199" s="146"/>
      <c r="V199" s="145"/>
      <c r="W199" s="147"/>
      <c r="X199" s="145"/>
      <c r="Y199" s="145"/>
      <c r="Z199" s="148"/>
      <c r="AA199" s="137"/>
    </row>
    <row r="200" spans="1:27" s="92" customFormat="1" x14ac:dyDescent="0.3">
      <c r="A200" s="137"/>
      <c r="B200" s="138"/>
      <c r="C200" s="138"/>
      <c r="D200" s="139"/>
      <c r="E200" s="140"/>
      <c r="F200" s="141"/>
      <c r="G200" s="142"/>
      <c r="H200" s="143"/>
      <c r="I200" s="143"/>
      <c r="J200" s="144"/>
      <c r="K200" s="144"/>
      <c r="L200" s="144"/>
      <c r="M200" s="144"/>
      <c r="N200" s="144"/>
      <c r="O200" s="144"/>
      <c r="P200" s="144"/>
      <c r="Q200" s="144"/>
      <c r="R200" s="144"/>
      <c r="S200" s="143"/>
      <c r="T200" s="145"/>
      <c r="U200" s="146"/>
      <c r="V200" s="145"/>
      <c r="W200" s="147"/>
      <c r="X200" s="145"/>
      <c r="Y200" s="145"/>
      <c r="Z200" s="148"/>
      <c r="AA200" s="137"/>
    </row>
    <row r="201" spans="1:27" s="92" customFormat="1" x14ac:dyDescent="0.3">
      <c r="A201" s="137"/>
      <c r="B201" s="138"/>
      <c r="C201" s="138"/>
      <c r="D201" s="139"/>
      <c r="E201" s="140"/>
      <c r="F201" s="141"/>
      <c r="G201" s="142"/>
      <c r="H201" s="143"/>
      <c r="I201" s="143"/>
      <c r="J201" s="144"/>
      <c r="K201" s="144"/>
      <c r="L201" s="144"/>
      <c r="M201" s="144"/>
      <c r="N201" s="144"/>
      <c r="O201" s="144"/>
      <c r="P201" s="144"/>
      <c r="Q201" s="144"/>
      <c r="R201" s="144"/>
      <c r="S201" s="143"/>
      <c r="T201" s="145"/>
      <c r="U201" s="146"/>
      <c r="V201" s="145"/>
      <c r="W201" s="147"/>
      <c r="X201" s="145"/>
      <c r="Y201" s="145"/>
      <c r="Z201" s="148"/>
      <c r="AA201" s="137"/>
    </row>
    <row r="202" spans="1:27" s="92" customFormat="1" x14ac:dyDescent="0.3">
      <c r="A202" s="137"/>
      <c r="B202" s="138"/>
      <c r="C202" s="138"/>
      <c r="D202" s="139"/>
      <c r="E202" s="140"/>
      <c r="F202" s="141"/>
      <c r="G202" s="142"/>
      <c r="H202" s="143"/>
      <c r="I202" s="143"/>
      <c r="J202" s="144"/>
      <c r="K202" s="144"/>
      <c r="L202" s="144"/>
      <c r="M202" s="144"/>
      <c r="N202" s="144"/>
      <c r="O202" s="144"/>
      <c r="P202" s="144"/>
      <c r="Q202" s="144"/>
      <c r="R202" s="144"/>
      <c r="S202" s="143"/>
      <c r="T202" s="145"/>
      <c r="U202" s="146"/>
      <c r="V202" s="145"/>
      <c r="W202" s="147"/>
      <c r="X202" s="145"/>
      <c r="Y202" s="145"/>
      <c r="Z202" s="148"/>
      <c r="AA202" s="137"/>
    </row>
    <row r="203" spans="1:27" s="92" customFormat="1" x14ac:dyDescent="0.3">
      <c r="A203" s="137"/>
      <c r="B203" s="138"/>
      <c r="C203" s="138"/>
      <c r="D203" s="139"/>
      <c r="E203" s="140"/>
      <c r="F203" s="141"/>
      <c r="G203" s="142"/>
      <c r="H203" s="143"/>
      <c r="I203" s="143"/>
      <c r="J203" s="144"/>
      <c r="K203" s="144"/>
      <c r="L203" s="144"/>
      <c r="M203" s="144"/>
      <c r="N203" s="144"/>
      <c r="O203" s="144"/>
      <c r="P203" s="144"/>
      <c r="Q203" s="144"/>
      <c r="R203" s="144"/>
      <c r="S203" s="143"/>
      <c r="T203" s="145"/>
      <c r="U203" s="146"/>
      <c r="V203" s="145"/>
      <c r="W203" s="147"/>
      <c r="X203" s="145"/>
      <c r="Y203" s="145"/>
      <c r="Z203" s="148"/>
      <c r="AA203" s="137"/>
    </row>
    <row r="204" spans="1:27" s="92" customFormat="1" x14ac:dyDescent="0.3">
      <c r="A204" s="137"/>
      <c r="B204" s="138"/>
      <c r="C204" s="138"/>
      <c r="D204" s="139"/>
      <c r="E204" s="140"/>
      <c r="F204" s="141"/>
      <c r="G204" s="142"/>
      <c r="H204" s="143"/>
      <c r="I204" s="143"/>
      <c r="J204" s="144"/>
      <c r="K204" s="144"/>
      <c r="L204" s="144"/>
      <c r="M204" s="144"/>
      <c r="N204" s="144"/>
      <c r="O204" s="144"/>
      <c r="P204" s="144"/>
      <c r="Q204" s="144"/>
      <c r="R204" s="144"/>
      <c r="S204" s="143"/>
      <c r="T204" s="145"/>
      <c r="U204" s="146"/>
      <c r="V204" s="145"/>
      <c r="W204" s="147"/>
      <c r="X204" s="145"/>
      <c r="Y204" s="145"/>
      <c r="Z204" s="148"/>
      <c r="AA204" s="137"/>
    </row>
    <row r="205" spans="1:27" s="92" customFormat="1" x14ac:dyDescent="0.3">
      <c r="A205" s="137"/>
      <c r="B205" s="138"/>
      <c r="C205" s="138"/>
      <c r="D205" s="139"/>
      <c r="E205" s="140"/>
      <c r="F205" s="141"/>
      <c r="G205" s="142"/>
      <c r="H205" s="143"/>
      <c r="I205" s="143"/>
      <c r="J205" s="144"/>
      <c r="K205" s="144"/>
      <c r="L205" s="144"/>
      <c r="M205" s="144"/>
      <c r="N205" s="144"/>
      <c r="O205" s="144"/>
      <c r="P205" s="144"/>
      <c r="Q205" s="144"/>
      <c r="R205" s="144"/>
      <c r="S205" s="143"/>
      <c r="T205" s="145"/>
      <c r="U205" s="146"/>
      <c r="V205" s="145"/>
      <c r="W205" s="147"/>
      <c r="X205" s="145"/>
      <c r="Y205" s="145"/>
      <c r="Z205" s="148"/>
      <c r="AA205" s="137"/>
    </row>
    <row r="206" spans="1:27" s="92" customFormat="1" x14ac:dyDescent="0.3">
      <c r="A206" s="137"/>
      <c r="B206" s="138"/>
      <c r="C206" s="138"/>
      <c r="D206" s="139"/>
      <c r="E206" s="140"/>
      <c r="F206" s="141"/>
      <c r="G206" s="142"/>
      <c r="H206" s="143"/>
      <c r="I206" s="143"/>
      <c r="J206" s="144"/>
      <c r="K206" s="144"/>
      <c r="L206" s="144"/>
      <c r="M206" s="144"/>
      <c r="N206" s="144"/>
      <c r="O206" s="144"/>
      <c r="P206" s="144"/>
      <c r="Q206" s="144"/>
      <c r="R206" s="144"/>
      <c r="S206" s="143"/>
      <c r="T206" s="145"/>
      <c r="U206" s="146"/>
      <c r="V206" s="145"/>
      <c r="W206" s="147"/>
      <c r="X206" s="145"/>
      <c r="Y206" s="145"/>
      <c r="Z206" s="148"/>
      <c r="AA206" s="137"/>
    </row>
    <row r="207" spans="1:27" s="92" customFormat="1" x14ac:dyDescent="0.3">
      <c r="A207" s="137"/>
      <c r="B207" s="138"/>
      <c r="C207" s="138"/>
      <c r="D207" s="139"/>
      <c r="E207" s="140"/>
      <c r="F207" s="141"/>
      <c r="G207" s="142"/>
      <c r="H207" s="143"/>
      <c r="I207" s="143"/>
      <c r="J207" s="144"/>
      <c r="K207" s="144"/>
      <c r="L207" s="144"/>
      <c r="M207" s="144"/>
      <c r="N207" s="144"/>
      <c r="O207" s="144"/>
      <c r="P207" s="144"/>
      <c r="Q207" s="144"/>
      <c r="R207" s="144"/>
      <c r="S207" s="143"/>
      <c r="T207" s="145"/>
      <c r="U207" s="146"/>
      <c r="V207" s="145"/>
      <c r="W207" s="147"/>
      <c r="X207" s="145"/>
      <c r="Y207" s="145"/>
      <c r="Z207" s="148"/>
      <c r="AA207" s="137"/>
    </row>
    <row r="208" spans="1:27" s="92" customFormat="1" x14ac:dyDescent="0.3">
      <c r="A208" s="137"/>
      <c r="B208" s="138"/>
      <c r="C208" s="138"/>
      <c r="D208" s="139"/>
      <c r="E208" s="140"/>
      <c r="F208" s="141"/>
      <c r="G208" s="142"/>
      <c r="H208" s="143"/>
      <c r="I208" s="143"/>
      <c r="J208" s="144"/>
      <c r="K208" s="144"/>
      <c r="L208" s="144"/>
      <c r="M208" s="144"/>
      <c r="N208" s="144"/>
      <c r="O208" s="144"/>
      <c r="P208" s="144"/>
      <c r="Q208" s="144"/>
      <c r="R208" s="144"/>
      <c r="S208" s="143"/>
      <c r="T208" s="145"/>
      <c r="U208" s="146"/>
      <c r="V208" s="145"/>
      <c r="W208" s="147"/>
      <c r="X208" s="145"/>
      <c r="Y208" s="145"/>
      <c r="Z208" s="148"/>
      <c r="AA208" s="137"/>
    </row>
    <row r="209" spans="1:27" s="92" customFormat="1" x14ac:dyDescent="0.3">
      <c r="A209" s="137"/>
      <c r="B209" s="138"/>
      <c r="C209" s="138"/>
      <c r="D209" s="139"/>
      <c r="E209" s="140"/>
      <c r="F209" s="141"/>
      <c r="G209" s="142"/>
      <c r="H209" s="143"/>
      <c r="I209" s="143"/>
      <c r="J209" s="144"/>
      <c r="K209" s="144"/>
      <c r="L209" s="144"/>
      <c r="M209" s="144"/>
      <c r="N209" s="144"/>
      <c r="O209" s="144"/>
      <c r="P209" s="144"/>
      <c r="Q209" s="144"/>
      <c r="R209" s="144"/>
      <c r="S209" s="143"/>
      <c r="T209" s="145"/>
      <c r="U209" s="146"/>
      <c r="V209" s="145"/>
      <c r="W209" s="147"/>
      <c r="X209" s="145"/>
      <c r="Y209" s="145"/>
      <c r="Z209" s="148"/>
      <c r="AA209" s="137"/>
    </row>
    <row r="210" spans="1:27" s="92" customFormat="1" x14ac:dyDescent="0.3">
      <c r="A210" s="137"/>
      <c r="B210" s="138"/>
      <c r="C210" s="138"/>
      <c r="D210" s="139"/>
      <c r="E210" s="140"/>
      <c r="F210" s="141"/>
      <c r="G210" s="142"/>
      <c r="H210" s="143"/>
      <c r="I210" s="143"/>
      <c r="J210" s="144"/>
      <c r="K210" s="144"/>
      <c r="L210" s="144"/>
      <c r="M210" s="144"/>
      <c r="N210" s="144"/>
      <c r="O210" s="144"/>
      <c r="P210" s="144"/>
      <c r="Q210" s="144"/>
      <c r="R210" s="144"/>
      <c r="S210" s="143"/>
      <c r="T210" s="145"/>
      <c r="U210" s="146"/>
      <c r="V210" s="145"/>
      <c r="W210" s="147"/>
      <c r="X210" s="145"/>
      <c r="Y210" s="145"/>
      <c r="Z210" s="148"/>
      <c r="AA210" s="137"/>
    </row>
    <row r="211" spans="1:27" s="92" customFormat="1" x14ac:dyDescent="0.3">
      <c r="A211" s="137"/>
      <c r="B211" s="138"/>
      <c r="C211" s="138"/>
      <c r="D211" s="139"/>
      <c r="E211" s="140"/>
      <c r="F211" s="141"/>
      <c r="G211" s="142"/>
      <c r="H211" s="143"/>
      <c r="I211" s="143"/>
      <c r="J211" s="144"/>
      <c r="K211" s="144"/>
      <c r="L211" s="144"/>
      <c r="M211" s="144"/>
      <c r="N211" s="144"/>
      <c r="O211" s="144"/>
      <c r="P211" s="144"/>
      <c r="Q211" s="144"/>
      <c r="R211" s="144"/>
      <c r="S211" s="143"/>
      <c r="T211" s="145"/>
      <c r="U211" s="146"/>
      <c r="V211" s="145"/>
      <c r="W211" s="147"/>
      <c r="X211" s="145"/>
      <c r="Y211" s="145"/>
      <c r="Z211" s="148"/>
      <c r="AA211" s="137"/>
    </row>
    <row r="212" spans="1:27" s="92" customFormat="1" x14ac:dyDescent="0.3">
      <c r="A212" s="137"/>
      <c r="B212" s="138"/>
      <c r="C212" s="138"/>
      <c r="D212" s="139"/>
      <c r="E212" s="140"/>
      <c r="F212" s="141"/>
      <c r="G212" s="142"/>
      <c r="H212" s="143"/>
      <c r="I212" s="143"/>
      <c r="J212" s="144"/>
      <c r="K212" s="144"/>
      <c r="L212" s="144"/>
      <c r="M212" s="144"/>
      <c r="N212" s="144"/>
      <c r="O212" s="144"/>
      <c r="P212" s="144"/>
      <c r="Q212" s="144"/>
      <c r="R212" s="144"/>
      <c r="S212" s="143"/>
      <c r="T212" s="145"/>
      <c r="U212" s="146"/>
      <c r="V212" s="145"/>
      <c r="W212" s="147"/>
      <c r="X212" s="145"/>
      <c r="Y212" s="145"/>
      <c r="Z212" s="148"/>
      <c r="AA212" s="137"/>
    </row>
    <row r="213" spans="1:27" s="92" customFormat="1" x14ac:dyDescent="0.3">
      <c r="A213" s="137"/>
      <c r="B213" s="138"/>
      <c r="C213" s="138"/>
      <c r="D213" s="139"/>
      <c r="E213" s="140"/>
      <c r="F213" s="141"/>
      <c r="G213" s="142"/>
      <c r="H213" s="143"/>
      <c r="I213" s="143"/>
      <c r="J213" s="144"/>
      <c r="K213" s="144"/>
      <c r="L213" s="144"/>
      <c r="M213" s="144"/>
      <c r="N213" s="144"/>
      <c r="O213" s="144"/>
      <c r="P213" s="144"/>
      <c r="Q213" s="144"/>
      <c r="R213" s="144"/>
      <c r="S213" s="143"/>
      <c r="T213" s="145"/>
      <c r="U213" s="146"/>
      <c r="V213" s="145"/>
      <c r="W213" s="147"/>
      <c r="X213" s="145"/>
      <c r="Y213" s="145"/>
      <c r="Z213" s="148"/>
      <c r="AA213" s="137"/>
    </row>
    <row r="214" spans="1:27" s="92" customFormat="1" x14ac:dyDescent="0.3">
      <c r="A214" s="137"/>
      <c r="B214" s="138"/>
      <c r="C214" s="138"/>
      <c r="D214" s="139"/>
      <c r="E214" s="140"/>
      <c r="F214" s="141"/>
      <c r="G214" s="142"/>
      <c r="H214" s="143"/>
      <c r="I214" s="143"/>
      <c r="J214" s="144"/>
      <c r="K214" s="144"/>
      <c r="L214" s="144"/>
      <c r="M214" s="144"/>
      <c r="N214" s="144"/>
      <c r="O214" s="144"/>
      <c r="P214" s="144"/>
      <c r="Q214" s="144"/>
      <c r="R214" s="144"/>
      <c r="S214" s="143"/>
      <c r="T214" s="145"/>
      <c r="U214" s="146"/>
      <c r="V214" s="145"/>
      <c r="W214" s="147"/>
      <c r="X214" s="145"/>
      <c r="Y214" s="145"/>
      <c r="Z214" s="148"/>
      <c r="AA214" s="137"/>
    </row>
    <row r="215" spans="1:27" s="92" customFormat="1" x14ac:dyDescent="0.3">
      <c r="A215" s="137"/>
      <c r="B215" s="138"/>
      <c r="C215" s="138"/>
      <c r="D215" s="139"/>
      <c r="E215" s="140"/>
      <c r="F215" s="141"/>
      <c r="G215" s="142"/>
      <c r="H215" s="143"/>
      <c r="I215" s="143"/>
      <c r="J215" s="144"/>
      <c r="K215" s="144"/>
      <c r="L215" s="144"/>
      <c r="M215" s="144"/>
      <c r="N215" s="144"/>
      <c r="O215" s="144"/>
      <c r="P215" s="144"/>
      <c r="Q215" s="144"/>
      <c r="R215" s="144"/>
      <c r="S215" s="143"/>
      <c r="T215" s="145"/>
      <c r="U215" s="146"/>
      <c r="V215" s="145"/>
      <c r="W215" s="147"/>
      <c r="X215" s="145"/>
      <c r="Y215" s="145"/>
      <c r="Z215" s="148"/>
      <c r="AA215" s="137"/>
    </row>
    <row r="216" spans="1:27" s="92" customFormat="1" x14ac:dyDescent="0.3">
      <c r="A216" s="137"/>
      <c r="B216" s="138"/>
      <c r="C216" s="138"/>
      <c r="D216" s="139"/>
      <c r="E216" s="140"/>
      <c r="F216" s="141"/>
      <c r="G216" s="142"/>
      <c r="H216" s="143"/>
      <c r="I216" s="143"/>
      <c r="J216" s="144"/>
      <c r="K216" s="144"/>
      <c r="L216" s="144"/>
      <c r="M216" s="144"/>
      <c r="N216" s="144"/>
      <c r="O216" s="144"/>
      <c r="P216" s="144"/>
      <c r="Q216" s="144"/>
      <c r="R216" s="144"/>
      <c r="S216" s="143"/>
      <c r="T216" s="145"/>
      <c r="U216" s="146"/>
      <c r="V216" s="145"/>
      <c r="W216" s="147"/>
      <c r="X216" s="145"/>
      <c r="Y216" s="145"/>
      <c r="Z216" s="148"/>
      <c r="AA216" s="137"/>
    </row>
    <row r="217" spans="1:27" s="92" customFormat="1" x14ac:dyDescent="0.3">
      <c r="A217" s="137"/>
      <c r="B217" s="138"/>
      <c r="C217" s="138"/>
      <c r="D217" s="139"/>
      <c r="E217" s="140"/>
      <c r="F217" s="141"/>
      <c r="G217" s="142"/>
      <c r="H217" s="143"/>
      <c r="I217" s="143"/>
      <c r="J217" s="144"/>
      <c r="K217" s="144"/>
      <c r="L217" s="144"/>
      <c r="M217" s="144"/>
      <c r="N217" s="144"/>
      <c r="O217" s="144"/>
      <c r="P217" s="144"/>
      <c r="Q217" s="144"/>
      <c r="R217" s="144"/>
      <c r="S217" s="143"/>
      <c r="T217" s="145"/>
      <c r="U217" s="146"/>
      <c r="V217" s="145"/>
      <c r="W217" s="147"/>
      <c r="X217" s="145"/>
      <c r="Y217" s="145"/>
      <c r="Z217" s="148"/>
      <c r="AA217" s="137"/>
    </row>
    <row r="218" spans="1:27" s="92" customFormat="1" x14ac:dyDescent="0.3">
      <c r="A218" s="137"/>
      <c r="B218" s="138"/>
      <c r="C218" s="138"/>
      <c r="D218" s="139"/>
      <c r="E218" s="140"/>
      <c r="F218" s="141"/>
      <c r="G218" s="142"/>
      <c r="H218" s="143"/>
      <c r="I218" s="143"/>
      <c r="J218" s="144"/>
      <c r="K218" s="144"/>
      <c r="L218" s="144"/>
      <c r="M218" s="144"/>
      <c r="N218" s="144"/>
      <c r="O218" s="144"/>
      <c r="P218" s="144"/>
      <c r="Q218" s="144"/>
      <c r="R218" s="144"/>
      <c r="S218" s="143"/>
      <c r="T218" s="145"/>
      <c r="U218" s="146"/>
      <c r="V218" s="145"/>
      <c r="W218" s="147"/>
      <c r="X218" s="145"/>
      <c r="Y218" s="145"/>
      <c r="Z218" s="148"/>
      <c r="AA218" s="137"/>
    </row>
    <row r="219" spans="1:27" s="92" customFormat="1" x14ac:dyDescent="0.3">
      <c r="A219" s="137"/>
      <c r="B219" s="138"/>
      <c r="C219" s="138"/>
      <c r="D219" s="139"/>
      <c r="E219" s="140"/>
      <c r="F219" s="141"/>
      <c r="G219" s="142"/>
      <c r="H219" s="143"/>
      <c r="I219" s="143"/>
      <c r="J219" s="144"/>
      <c r="K219" s="144"/>
      <c r="L219" s="144"/>
      <c r="M219" s="144"/>
      <c r="N219" s="144"/>
      <c r="O219" s="144"/>
      <c r="P219" s="144"/>
      <c r="Q219" s="144"/>
      <c r="R219" s="144"/>
      <c r="S219" s="143"/>
      <c r="T219" s="145"/>
      <c r="U219" s="146"/>
      <c r="V219" s="145"/>
      <c r="W219" s="147"/>
      <c r="X219" s="145"/>
      <c r="Y219" s="145"/>
      <c r="Z219" s="148"/>
      <c r="AA219" s="137"/>
    </row>
    <row r="220" spans="1:27" s="92" customFormat="1" x14ac:dyDescent="0.3">
      <c r="A220" s="137"/>
      <c r="B220" s="138"/>
      <c r="C220" s="138"/>
      <c r="D220" s="139"/>
      <c r="E220" s="140"/>
      <c r="F220" s="141"/>
      <c r="G220" s="142"/>
      <c r="H220" s="143"/>
      <c r="I220" s="143"/>
      <c r="J220" s="144"/>
      <c r="K220" s="144"/>
      <c r="L220" s="144"/>
      <c r="M220" s="144"/>
      <c r="N220" s="144"/>
      <c r="O220" s="144"/>
      <c r="P220" s="144"/>
      <c r="Q220" s="144"/>
      <c r="R220" s="144"/>
      <c r="S220" s="143"/>
      <c r="T220" s="145"/>
      <c r="U220" s="146"/>
      <c r="V220" s="145"/>
      <c r="W220" s="147"/>
      <c r="X220" s="145"/>
      <c r="Y220" s="145"/>
      <c r="Z220" s="148"/>
      <c r="AA220" s="137"/>
    </row>
    <row r="221" spans="1:27" s="92" customFormat="1" x14ac:dyDescent="0.3">
      <c r="A221" s="137"/>
      <c r="B221" s="138"/>
      <c r="C221" s="138"/>
      <c r="D221" s="139"/>
      <c r="E221" s="140"/>
      <c r="F221" s="141"/>
      <c r="G221" s="142"/>
      <c r="H221" s="143"/>
      <c r="I221" s="143"/>
      <c r="J221" s="144"/>
      <c r="K221" s="144"/>
      <c r="L221" s="144"/>
      <c r="M221" s="144"/>
      <c r="N221" s="144"/>
      <c r="O221" s="144"/>
      <c r="P221" s="144"/>
      <c r="Q221" s="144"/>
      <c r="R221" s="144"/>
      <c r="S221" s="143"/>
      <c r="T221" s="145"/>
      <c r="U221" s="146"/>
      <c r="V221" s="145"/>
      <c r="W221" s="147"/>
      <c r="X221" s="145"/>
      <c r="Y221" s="145"/>
      <c r="Z221" s="148"/>
      <c r="AA221" s="137"/>
    </row>
    <row r="222" spans="1:27" s="92" customFormat="1" x14ac:dyDescent="0.3">
      <c r="A222" s="137"/>
      <c r="B222" s="138"/>
      <c r="C222" s="138"/>
      <c r="D222" s="139"/>
      <c r="E222" s="140"/>
      <c r="F222" s="141"/>
      <c r="G222" s="142"/>
      <c r="H222" s="143"/>
      <c r="I222" s="143"/>
      <c r="J222" s="144"/>
      <c r="K222" s="144"/>
      <c r="L222" s="144"/>
      <c r="M222" s="144"/>
      <c r="N222" s="144"/>
      <c r="O222" s="144"/>
      <c r="P222" s="144"/>
      <c r="Q222" s="144"/>
      <c r="R222" s="144"/>
      <c r="S222" s="143"/>
      <c r="T222" s="145"/>
      <c r="U222" s="146"/>
      <c r="V222" s="145"/>
      <c r="W222" s="147"/>
      <c r="X222" s="145"/>
      <c r="Y222" s="145"/>
      <c r="Z222" s="148"/>
      <c r="AA222" s="137"/>
    </row>
    <row r="223" spans="1:27" s="92" customFormat="1" x14ac:dyDescent="0.3">
      <c r="A223" s="137"/>
      <c r="B223" s="138"/>
      <c r="C223" s="138"/>
      <c r="D223" s="139"/>
      <c r="E223" s="140"/>
      <c r="F223" s="141"/>
      <c r="G223" s="142"/>
      <c r="H223" s="143"/>
      <c r="I223" s="143"/>
      <c r="J223" s="144"/>
      <c r="K223" s="144"/>
      <c r="L223" s="144"/>
      <c r="M223" s="144"/>
      <c r="N223" s="144"/>
      <c r="O223" s="144"/>
      <c r="P223" s="144"/>
      <c r="Q223" s="144"/>
      <c r="R223" s="144"/>
      <c r="S223" s="143"/>
      <c r="T223" s="145"/>
      <c r="U223" s="146"/>
      <c r="V223" s="145"/>
      <c r="W223" s="147"/>
      <c r="X223" s="145"/>
      <c r="Y223" s="145"/>
      <c r="Z223" s="148"/>
      <c r="AA223" s="137"/>
    </row>
    <row r="224" spans="1:27" s="92" customFormat="1" x14ac:dyDescent="0.3">
      <c r="A224" s="137"/>
      <c r="B224" s="138"/>
      <c r="C224" s="138"/>
      <c r="D224" s="139"/>
      <c r="E224" s="140"/>
      <c r="F224" s="141"/>
      <c r="G224" s="142"/>
      <c r="H224" s="143"/>
      <c r="I224" s="143"/>
      <c r="J224" s="144"/>
      <c r="K224" s="144"/>
      <c r="L224" s="144"/>
      <c r="M224" s="144"/>
      <c r="N224" s="144"/>
      <c r="O224" s="144"/>
      <c r="P224" s="144"/>
      <c r="Q224" s="144"/>
      <c r="R224" s="144"/>
      <c r="S224" s="143"/>
      <c r="T224" s="145"/>
      <c r="U224" s="146"/>
      <c r="V224" s="145"/>
      <c r="W224" s="147"/>
      <c r="X224" s="145"/>
      <c r="Y224" s="145"/>
      <c r="Z224" s="148"/>
      <c r="AA224" s="137"/>
    </row>
    <row r="225" spans="1:27" s="92" customFormat="1" x14ac:dyDescent="0.3">
      <c r="A225" s="137"/>
      <c r="B225" s="138"/>
      <c r="C225" s="138"/>
      <c r="D225" s="139"/>
      <c r="E225" s="140"/>
      <c r="F225" s="141"/>
      <c r="G225" s="142"/>
      <c r="H225" s="143"/>
      <c r="I225" s="143"/>
      <c r="J225" s="144"/>
      <c r="K225" s="144"/>
      <c r="L225" s="144"/>
      <c r="M225" s="144"/>
      <c r="N225" s="144"/>
      <c r="O225" s="144"/>
      <c r="P225" s="144"/>
      <c r="Q225" s="144"/>
      <c r="R225" s="144"/>
      <c r="S225" s="143"/>
      <c r="T225" s="145"/>
      <c r="U225" s="146"/>
      <c r="V225" s="145"/>
      <c r="W225" s="147"/>
      <c r="X225" s="145"/>
      <c r="Y225" s="145"/>
      <c r="Z225" s="148"/>
      <c r="AA225" s="137"/>
    </row>
    <row r="226" spans="1:27" s="92" customFormat="1" x14ac:dyDescent="0.3">
      <c r="A226" s="137"/>
      <c r="B226" s="138"/>
      <c r="C226" s="138"/>
      <c r="D226" s="139"/>
      <c r="E226" s="140"/>
      <c r="F226" s="141"/>
      <c r="G226" s="142"/>
      <c r="H226" s="143"/>
      <c r="I226" s="143"/>
      <c r="J226" s="144"/>
      <c r="K226" s="144"/>
      <c r="L226" s="144"/>
      <c r="M226" s="144"/>
      <c r="N226" s="144"/>
      <c r="O226" s="144"/>
      <c r="P226" s="144"/>
      <c r="Q226" s="144"/>
      <c r="R226" s="144"/>
      <c r="S226" s="143"/>
      <c r="T226" s="145"/>
      <c r="U226" s="146"/>
      <c r="V226" s="145"/>
      <c r="W226" s="147"/>
      <c r="X226" s="145"/>
      <c r="Y226" s="145"/>
      <c r="Z226" s="148"/>
      <c r="AA226" s="137"/>
    </row>
    <row r="227" spans="1:27" s="92" customFormat="1" x14ac:dyDescent="0.3">
      <c r="A227" s="137"/>
      <c r="B227" s="138"/>
      <c r="C227" s="138"/>
      <c r="D227" s="139"/>
      <c r="E227" s="140"/>
      <c r="F227" s="141"/>
      <c r="G227" s="142"/>
      <c r="H227" s="143"/>
      <c r="I227" s="143"/>
      <c r="J227" s="144"/>
      <c r="K227" s="144"/>
      <c r="L227" s="144"/>
      <c r="M227" s="144"/>
      <c r="N227" s="144"/>
      <c r="O227" s="144"/>
      <c r="P227" s="144"/>
      <c r="Q227" s="144"/>
      <c r="R227" s="144"/>
      <c r="S227" s="143"/>
      <c r="T227" s="145"/>
      <c r="U227" s="146"/>
      <c r="V227" s="145"/>
      <c r="W227" s="147"/>
      <c r="X227" s="145"/>
      <c r="Y227" s="145"/>
      <c r="Z227" s="148"/>
      <c r="AA227" s="137"/>
    </row>
    <row r="228" spans="1:27" s="92" customFormat="1" x14ac:dyDescent="0.3">
      <c r="A228" s="137"/>
      <c r="B228" s="138"/>
      <c r="C228" s="138"/>
      <c r="D228" s="139"/>
      <c r="E228" s="140"/>
      <c r="F228" s="141"/>
      <c r="G228" s="142"/>
      <c r="H228" s="143"/>
      <c r="I228" s="143"/>
      <c r="J228" s="144"/>
      <c r="K228" s="144"/>
      <c r="L228" s="144"/>
      <c r="M228" s="144"/>
      <c r="N228" s="144"/>
      <c r="O228" s="144"/>
      <c r="P228" s="144"/>
      <c r="Q228" s="144"/>
      <c r="R228" s="144"/>
      <c r="S228" s="143"/>
      <c r="T228" s="145"/>
      <c r="U228" s="146"/>
      <c r="V228" s="145"/>
      <c r="W228" s="147"/>
      <c r="X228" s="145"/>
      <c r="Y228" s="145"/>
      <c r="Z228" s="148"/>
      <c r="AA228" s="137"/>
    </row>
    <row r="229" spans="1:27" s="92" customFormat="1" x14ac:dyDescent="0.3">
      <c r="A229" s="137"/>
      <c r="B229" s="138"/>
      <c r="C229" s="138"/>
      <c r="D229" s="139"/>
      <c r="E229" s="140"/>
      <c r="F229" s="141"/>
      <c r="G229" s="142"/>
      <c r="H229" s="143"/>
      <c r="I229" s="143"/>
      <c r="J229" s="144"/>
      <c r="K229" s="144"/>
      <c r="L229" s="144"/>
      <c r="M229" s="144"/>
      <c r="N229" s="144"/>
      <c r="O229" s="144"/>
      <c r="P229" s="144"/>
      <c r="Q229" s="144"/>
      <c r="R229" s="144"/>
      <c r="S229" s="143"/>
      <c r="T229" s="145"/>
      <c r="U229" s="146"/>
      <c r="V229" s="145"/>
      <c r="W229" s="147"/>
      <c r="X229" s="145"/>
      <c r="Y229" s="145"/>
      <c r="Z229" s="148"/>
      <c r="AA229" s="137"/>
    </row>
    <row r="230" spans="1:27" s="92" customFormat="1" x14ac:dyDescent="0.3">
      <c r="A230" s="137"/>
      <c r="B230" s="138"/>
      <c r="C230" s="138"/>
      <c r="D230" s="139"/>
      <c r="E230" s="140"/>
      <c r="F230" s="141"/>
      <c r="G230" s="142"/>
      <c r="H230" s="143"/>
      <c r="I230" s="143"/>
      <c r="J230" s="144"/>
      <c r="K230" s="144"/>
      <c r="L230" s="144"/>
      <c r="M230" s="144"/>
      <c r="N230" s="144"/>
      <c r="O230" s="144"/>
      <c r="P230" s="144"/>
      <c r="Q230" s="144"/>
      <c r="R230" s="144"/>
      <c r="S230" s="143"/>
      <c r="T230" s="145"/>
      <c r="U230" s="146"/>
      <c r="V230" s="145"/>
      <c r="W230" s="147"/>
      <c r="X230" s="145"/>
      <c r="Y230" s="145"/>
      <c r="Z230" s="148"/>
      <c r="AA230" s="137"/>
    </row>
    <row r="231" spans="1:27" s="92" customFormat="1" x14ac:dyDescent="0.3">
      <c r="A231" s="137"/>
      <c r="B231" s="138"/>
      <c r="C231" s="138"/>
      <c r="D231" s="139"/>
      <c r="E231" s="140"/>
      <c r="F231" s="141"/>
      <c r="G231" s="142"/>
      <c r="H231" s="143"/>
      <c r="I231" s="143"/>
      <c r="J231" s="144"/>
      <c r="K231" s="144"/>
      <c r="L231" s="144"/>
      <c r="M231" s="144"/>
      <c r="N231" s="144"/>
      <c r="O231" s="144"/>
      <c r="P231" s="144"/>
      <c r="Q231" s="144"/>
      <c r="R231" s="144"/>
      <c r="S231" s="143"/>
      <c r="T231" s="145"/>
      <c r="U231" s="146"/>
      <c r="V231" s="145"/>
      <c r="W231" s="147"/>
      <c r="X231" s="145"/>
      <c r="Y231" s="145"/>
      <c r="Z231" s="148"/>
      <c r="AA231" s="137"/>
    </row>
    <row r="232" spans="1:27" s="92" customFormat="1" x14ac:dyDescent="0.3">
      <c r="A232" s="137"/>
      <c r="B232" s="138"/>
      <c r="C232" s="138"/>
      <c r="D232" s="139"/>
      <c r="E232" s="140"/>
      <c r="F232" s="141"/>
      <c r="G232" s="142"/>
      <c r="H232" s="143"/>
      <c r="I232" s="143"/>
      <c r="J232" s="144"/>
      <c r="K232" s="144"/>
      <c r="L232" s="144"/>
      <c r="M232" s="144"/>
      <c r="N232" s="144"/>
      <c r="O232" s="144"/>
      <c r="P232" s="144"/>
      <c r="Q232" s="144"/>
      <c r="R232" s="144"/>
      <c r="S232" s="143"/>
      <c r="T232" s="145"/>
      <c r="U232" s="146"/>
      <c r="V232" s="145"/>
      <c r="W232" s="147"/>
      <c r="X232" s="145"/>
      <c r="Y232" s="145"/>
      <c r="Z232" s="148"/>
      <c r="AA232" s="137"/>
    </row>
    <row r="233" spans="1:27" s="92" customFormat="1" x14ac:dyDescent="0.3">
      <c r="A233" s="137"/>
      <c r="B233" s="138"/>
      <c r="C233" s="138"/>
      <c r="D233" s="139"/>
      <c r="E233" s="140"/>
      <c r="F233" s="141"/>
      <c r="G233" s="142"/>
      <c r="H233" s="143"/>
      <c r="I233" s="143"/>
      <c r="J233" s="144"/>
      <c r="K233" s="144"/>
      <c r="L233" s="144"/>
      <c r="M233" s="144"/>
      <c r="N233" s="144"/>
      <c r="O233" s="144"/>
      <c r="P233" s="144"/>
      <c r="Q233" s="144"/>
      <c r="R233" s="144"/>
      <c r="S233" s="143"/>
      <c r="T233" s="145"/>
      <c r="U233" s="146"/>
      <c r="V233" s="145"/>
      <c r="W233" s="147"/>
      <c r="X233" s="145"/>
      <c r="Y233" s="145"/>
      <c r="Z233" s="148"/>
      <c r="AA233" s="137"/>
    </row>
    <row r="234" spans="1:27" s="92" customFormat="1" x14ac:dyDescent="0.3">
      <c r="A234" s="137"/>
      <c r="B234" s="138"/>
      <c r="C234" s="138"/>
      <c r="D234" s="139"/>
      <c r="E234" s="140"/>
      <c r="F234" s="141"/>
      <c r="G234" s="142"/>
      <c r="H234" s="143"/>
      <c r="I234" s="143"/>
      <c r="J234" s="144"/>
      <c r="K234" s="144"/>
      <c r="L234" s="144"/>
      <c r="M234" s="144"/>
      <c r="N234" s="144"/>
      <c r="O234" s="144"/>
      <c r="P234" s="144"/>
      <c r="Q234" s="144"/>
      <c r="R234" s="144"/>
      <c r="S234" s="143"/>
      <c r="T234" s="145"/>
      <c r="U234" s="146"/>
      <c r="V234" s="145"/>
      <c r="W234" s="147"/>
      <c r="X234" s="145"/>
      <c r="Y234" s="145"/>
      <c r="Z234" s="148"/>
      <c r="AA234" s="137"/>
    </row>
    <row r="235" spans="1:27" s="92" customFormat="1" x14ac:dyDescent="0.3">
      <c r="A235" s="137"/>
      <c r="B235" s="138"/>
      <c r="C235" s="138"/>
      <c r="D235" s="139"/>
      <c r="E235" s="140"/>
      <c r="F235" s="141"/>
      <c r="G235" s="142"/>
      <c r="H235" s="143"/>
      <c r="I235" s="143"/>
      <c r="J235" s="144"/>
      <c r="K235" s="144"/>
      <c r="L235" s="144"/>
      <c r="M235" s="144"/>
      <c r="N235" s="144"/>
      <c r="O235" s="144"/>
      <c r="P235" s="144"/>
      <c r="Q235" s="144"/>
      <c r="R235" s="144"/>
      <c r="S235" s="143"/>
      <c r="T235" s="145"/>
      <c r="U235" s="146"/>
      <c r="V235" s="145"/>
      <c r="W235" s="147"/>
      <c r="X235" s="145"/>
      <c r="Y235" s="145"/>
      <c r="Z235" s="148"/>
      <c r="AA235" s="137"/>
    </row>
    <row r="236" spans="1:27" s="92" customFormat="1" x14ac:dyDescent="0.3">
      <c r="A236" s="137"/>
      <c r="B236" s="138"/>
      <c r="C236" s="138"/>
      <c r="D236" s="139"/>
      <c r="E236" s="140"/>
      <c r="F236" s="141"/>
      <c r="G236" s="142"/>
      <c r="H236" s="143"/>
      <c r="I236" s="143"/>
      <c r="J236" s="144"/>
      <c r="K236" s="144"/>
      <c r="L236" s="144"/>
      <c r="M236" s="144"/>
      <c r="N236" s="144"/>
      <c r="O236" s="144"/>
      <c r="P236" s="144"/>
      <c r="Q236" s="144"/>
      <c r="R236" s="144"/>
      <c r="S236" s="143"/>
      <c r="T236" s="145"/>
      <c r="U236" s="146"/>
      <c r="V236" s="145"/>
      <c r="W236" s="147"/>
      <c r="X236" s="145"/>
      <c r="Y236" s="145"/>
      <c r="Z236" s="148"/>
      <c r="AA236" s="137"/>
    </row>
    <row r="237" spans="1:27" s="92" customFormat="1" x14ac:dyDescent="0.3">
      <c r="A237" s="137"/>
      <c r="B237" s="138"/>
      <c r="C237" s="138"/>
      <c r="D237" s="139"/>
      <c r="E237" s="140"/>
      <c r="F237" s="141"/>
      <c r="G237" s="142"/>
      <c r="H237" s="143"/>
      <c r="I237" s="143"/>
      <c r="J237" s="144"/>
      <c r="K237" s="144"/>
      <c r="L237" s="144"/>
      <c r="M237" s="144"/>
      <c r="N237" s="144"/>
      <c r="O237" s="144"/>
      <c r="P237" s="144"/>
      <c r="Q237" s="144"/>
      <c r="R237" s="144"/>
      <c r="S237" s="143"/>
      <c r="T237" s="145"/>
      <c r="U237" s="146"/>
      <c r="V237" s="145"/>
      <c r="W237" s="147"/>
      <c r="X237" s="145"/>
      <c r="Y237" s="145"/>
      <c r="Z237" s="148"/>
      <c r="AA237" s="137"/>
    </row>
    <row r="238" spans="1:27" s="92" customFormat="1" x14ac:dyDescent="0.3">
      <c r="A238" s="137"/>
      <c r="B238" s="138"/>
      <c r="C238" s="138"/>
      <c r="D238" s="139"/>
      <c r="E238" s="140"/>
      <c r="F238" s="141"/>
      <c r="G238" s="142"/>
      <c r="H238" s="143"/>
      <c r="I238" s="143"/>
      <c r="J238" s="144"/>
      <c r="K238" s="144"/>
      <c r="L238" s="144"/>
      <c r="M238" s="144"/>
      <c r="N238" s="144"/>
      <c r="O238" s="144"/>
      <c r="P238" s="144"/>
      <c r="Q238" s="144"/>
      <c r="R238" s="144"/>
      <c r="S238" s="143"/>
      <c r="T238" s="145"/>
      <c r="U238" s="146"/>
      <c r="V238" s="145"/>
      <c r="W238" s="147"/>
      <c r="X238" s="145"/>
      <c r="Y238" s="145"/>
      <c r="Z238" s="148"/>
      <c r="AA238" s="137"/>
    </row>
    <row r="239" spans="1:27" s="92" customFormat="1" x14ac:dyDescent="0.3">
      <c r="A239" s="137"/>
      <c r="B239" s="138"/>
      <c r="C239" s="138"/>
      <c r="D239" s="139"/>
      <c r="E239" s="140"/>
      <c r="F239" s="141"/>
      <c r="G239" s="142"/>
      <c r="H239" s="143"/>
      <c r="I239" s="143"/>
      <c r="J239" s="144"/>
      <c r="K239" s="144"/>
      <c r="L239" s="144"/>
      <c r="M239" s="144"/>
      <c r="N239" s="144"/>
      <c r="O239" s="144"/>
      <c r="P239" s="144"/>
      <c r="Q239" s="144"/>
      <c r="R239" s="144"/>
      <c r="S239" s="143"/>
      <c r="T239" s="145"/>
      <c r="U239" s="146"/>
      <c r="V239" s="145"/>
      <c r="W239" s="147"/>
      <c r="X239" s="145"/>
      <c r="Y239" s="145"/>
      <c r="Z239" s="148"/>
      <c r="AA239" s="137"/>
    </row>
    <row r="240" spans="1:27" s="92" customFormat="1" x14ac:dyDescent="0.3">
      <c r="A240" s="137"/>
      <c r="B240" s="138"/>
      <c r="C240" s="138"/>
      <c r="D240" s="139"/>
      <c r="E240" s="140"/>
      <c r="F240" s="141"/>
      <c r="G240" s="142"/>
      <c r="H240" s="143"/>
      <c r="I240" s="143"/>
      <c r="J240" s="144"/>
      <c r="K240" s="144"/>
      <c r="L240" s="144"/>
      <c r="M240" s="144"/>
      <c r="N240" s="144"/>
      <c r="O240" s="144"/>
      <c r="P240" s="144"/>
      <c r="Q240" s="144"/>
      <c r="R240" s="144"/>
      <c r="S240" s="143"/>
      <c r="T240" s="145"/>
      <c r="U240" s="146"/>
      <c r="V240" s="145"/>
      <c r="W240" s="147"/>
      <c r="X240" s="145"/>
      <c r="Y240" s="145"/>
      <c r="Z240" s="148"/>
      <c r="AA240" s="137"/>
    </row>
    <row r="241" spans="1:27" s="92" customFormat="1" x14ac:dyDescent="0.3">
      <c r="A241" s="137"/>
      <c r="B241" s="138"/>
      <c r="C241" s="138"/>
      <c r="D241" s="139"/>
      <c r="E241" s="140"/>
      <c r="F241" s="141"/>
      <c r="G241" s="142"/>
      <c r="H241" s="143"/>
      <c r="I241" s="143"/>
      <c r="J241" s="144"/>
      <c r="K241" s="144"/>
      <c r="L241" s="144"/>
      <c r="M241" s="144"/>
      <c r="N241" s="144"/>
      <c r="O241" s="144"/>
      <c r="P241" s="144"/>
      <c r="Q241" s="144"/>
      <c r="R241" s="144"/>
      <c r="S241" s="143"/>
      <c r="T241" s="145"/>
      <c r="U241" s="146"/>
      <c r="V241" s="145"/>
      <c r="W241" s="147"/>
      <c r="X241" s="145"/>
      <c r="Y241" s="145"/>
      <c r="Z241" s="148"/>
      <c r="AA241" s="137"/>
    </row>
    <row r="242" spans="1:27" s="92" customFormat="1" x14ac:dyDescent="0.3">
      <c r="A242" s="137"/>
      <c r="B242" s="138"/>
      <c r="C242" s="138"/>
      <c r="D242" s="139"/>
      <c r="E242" s="140"/>
      <c r="F242" s="141"/>
      <c r="G242" s="142"/>
      <c r="H242" s="143"/>
      <c r="I242" s="143"/>
      <c r="J242" s="144"/>
      <c r="K242" s="144"/>
      <c r="L242" s="144"/>
      <c r="M242" s="144"/>
      <c r="N242" s="144"/>
      <c r="O242" s="144"/>
      <c r="P242" s="144"/>
      <c r="Q242" s="144"/>
      <c r="R242" s="144"/>
      <c r="S242" s="143"/>
      <c r="T242" s="145"/>
      <c r="U242" s="146"/>
      <c r="V242" s="145"/>
      <c r="W242" s="147"/>
      <c r="X242" s="145"/>
      <c r="Y242" s="145"/>
      <c r="Z242" s="148"/>
      <c r="AA242" s="137"/>
    </row>
    <row r="243" spans="1:27" s="92" customFormat="1" x14ac:dyDescent="0.3">
      <c r="A243" s="137"/>
      <c r="B243" s="138"/>
      <c r="C243" s="138"/>
      <c r="D243" s="139"/>
      <c r="E243" s="140"/>
      <c r="F243" s="141"/>
      <c r="G243" s="142"/>
      <c r="H243" s="143"/>
      <c r="I243" s="143"/>
      <c r="J243" s="144"/>
      <c r="K243" s="144"/>
      <c r="L243" s="144"/>
      <c r="M243" s="144"/>
      <c r="N243" s="144"/>
      <c r="O243" s="144"/>
      <c r="P243" s="144"/>
      <c r="Q243" s="144"/>
      <c r="R243" s="144"/>
      <c r="S243" s="143"/>
      <c r="T243" s="145"/>
      <c r="U243" s="146"/>
      <c r="V243" s="145"/>
      <c r="W243" s="147"/>
      <c r="X243" s="145"/>
      <c r="Y243" s="145"/>
      <c r="Z243" s="148"/>
      <c r="AA243" s="137"/>
    </row>
    <row r="244" spans="1:27" s="92" customFormat="1" x14ac:dyDescent="0.3">
      <c r="A244" s="137"/>
      <c r="B244" s="138"/>
      <c r="C244" s="138"/>
      <c r="D244" s="139"/>
      <c r="E244" s="140"/>
      <c r="F244" s="141"/>
      <c r="G244" s="142"/>
      <c r="H244" s="143"/>
      <c r="I244" s="143"/>
      <c r="J244" s="144"/>
      <c r="K244" s="144"/>
      <c r="L244" s="144"/>
      <c r="M244" s="144"/>
      <c r="N244" s="144"/>
      <c r="O244" s="144"/>
      <c r="P244" s="144"/>
      <c r="Q244" s="144"/>
      <c r="R244" s="144"/>
      <c r="S244" s="143"/>
      <c r="T244" s="145"/>
      <c r="U244" s="146"/>
      <c r="V244" s="145"/>
      <c r="W244" s="147"/>
      <c r="X244" s="145"/>
      <c r="Y244" s="145"/>
      <c r="Z244" s="148"/>
      <c r="AA244" s="137"/>
    </row>
    <row r="245" spans="1:27" s="92" customFormat="1" x14ac:dyDescent="0.3">
      <c r="A245" s="137"/>
      <c r="B245" s="138"/>
      <c r="C245" s="138"/>
      <c r="D245" s="139"/>
      <c r="E245" s="140"/>
      <c r="F245" s="141"/>
      <c r="G245" s="142"/>
      <c r="H245" s="143"/>
      <c r="I245" s="143"/>
      <c r="J245" s="144"/>
      <c r="K245" s="144"/>
      <c r="L245" s="144"/>
      <c r="M245" s="144"/>
      <c r="N245" s="144"/>
      <c r="O245" s="144"/>
      <c r="P245" s="144"/>
      <c r="Q245" s="144"/>
      <c r="R245" s="144"/>
      <c r="S245" s="143"/>
      <c r="T245" s="145"/>
      <c r="U245" s="146"/>
      <c r="V245" s="145"/>
      <c r="W245" s="147"/>
      <c r="X245" s="145"/>
      <c r="Y245" s="145"/>
      <c r="Z245" s="148"/>
      <c r="AA245" s="137"/>
    </row>
    <row r="246" spans="1:27" s="92" customFormat="1" x14ac:dyDescent="0.3">
      <c r="A246" s="137"/>
      <c r="B246" s="138"/>
      <c r="C246" s="138"/>
      <c r="D246" s="139"/>
      <c r="E246" s="140"/>
      <c r="F246" s="141"/>
      <c r="G246" s="142"/>
      <c r="H246" s="143"/>
      <c r="I246" s="143"/>
      <c r="J246" s="144"/>
      <c r="K246" s="144"/>
      <c r="L246" s="144"/>
      <c r="M246" s="144"/>
      <c r="N246" s="144"/>
      <c r="O246" s="144"/>
      <c r="P246" s="144"/>
      <c r="Q246" s="144"/>
      <c r="R246" s="144"/>
      <c r="S246" s="143"/>
      <c r="T246" s="145"/>
      <c r="U246" s="146"/>
      <c r="V246" s="145"/>
      <c r="W246" s="147"/>
      <c r="X246" s="145"/>
      <c r="Y246" s="145"/>
      <c r="Z246" s="148"/>
      <c r="AA246" s="137"/>
    </row>
    <row r="247" spans="1:27" s="92" customFormat="1" x14ac:dyDescent="0.3">
      <c r="A247" s="137"/>
      <c r="B247" s="138"/>
      <c r="C247" s="138"/>
      <c r="D247" s="139"/>
      <c r="E247" s="140"/>
      <c r="F247" s="141"/>
      <c r="G247" s="142"/>
      <c r="H247" s="143"/>
      <c r="I247" s="143"/>
      <c r="J247" s="144"/>
      <c r="K247" s="144"/>
      <c r="L247" s="144"/>
      <c r="M247" s="144"/>
      <c r="N247" s="144"/>
      <c r="O247" s="144"/>
      <c r="P247" s="144"/>
      <c r="Q247" s="144"/>
      <c r="R247" s="144"/>
      <c r="S247" s="143"/>
      <c r="T247" s="145"/>
      <c r="U247" s="146"/>
      <c r="V247" s="145"/>
      <c r="W247" s="147"/>
      <c r="X247" s="145"/>
      <c r="Y247" s="145"/>
      <c r="Z247" s="148"/>
      <c r="AA247" s="137"/>
    </row>
    <row r="248" spans="1:27" s="92" customFormat="1" x14ac:dyDescent="0.3">
      <c r="A248" s="137"/>
      <c r="B248" s="138"/>
      <c r="C248" s="138"/>
      <c r="D248" s="139"/>
      <c r="E248" s="140"/>
      <c r="F248" s="141"/>
      <c r="G248" s="142"/>
      <c r="H248" s="143"/>
      <c r="I248" s="143"/>
      <c r="J248" s="144"/>
      <c r="K248" s="144"/>
      <c r="L248" s="144"/>
      <c r="M248" s="144"/>
      <c r="N248" s="144"/>
      <c r="O248" s="144"/>
      <c r="P248" s="144"/>
      <c r="Q248" s="144"/>
      <c r="R248" s="144"/>
      <c r="S248" s="143"/>
      <c r="T248" s="145"/>
      <c r="U248" s="146"/>
      <c r="V248" s="145"/>
      <c r="W248" s="147"/>
      <c r="X248" s="145"/>
      <c r="Y248" s="145"/>
      <c r="Z248" s="148"/>
      <c r="AA248" s="137"/>
    </row>
    <row r="249" spans="1:27" s="92" customFormat="1" x14ac:dyDescent="0.3">
      <c r="A249" s="137"/>
      <c r="B249" s="138"/>
      <c r="C249" s="138"/>
      <c r="D249" s="139"/>
      <c r="E249" s="140"/>
      <c r="F249" s="141"/>
      <c r="G249" s="142"/>
      <c r="H249" s="143"/>
      <c r="I249" s="143"/>
      <c r="J249" s="144"/>
      <c r="K249" s="144"/>
      <c r="L249" s="144"/>
      <c r="M249" s="144"/>
      <c r="N249" s="144"/>
      <c r="O249" s="144"/>
      <c r="P249" s="144"/>
      <c r="Q249" s="144"/>
      <c r="R249" s="144"/>
      <c r="S249" s="143"/>
      <c r="T249" s="145"/>
      <c r="U249" s="146"/>
      <c r="V249" s="145"/>
      <c r="W249" s="147"/>
      <c r="X249" s="145"/>
      <c r="Y249" s="145"/>
      <c r="Z249" s="148"/>
      <c r="AA249" s="137"/>
    </row>
    <row r="250" spans="1:27" s="92" customFormat="1" x14ac:dyDescent="0.3">
      <c r="A250" s="137"/>
      <c r="B250" s="138"/>
      <c r="C250" s="138"/>
      <c r="D250" s="139"/>
      <c r="E250" s="140"/>
      <c r="F250" s="141"/>
      <c r="G250" s="142"/>
      <c r="H250" s="143"/>
      <c r="I250" s="143"/>
      <c r="J250" s="144"/>
      <c r="K250" s="144"/>
      <c r="L250" s="144"/>
      <c r="M250" s="144"/>
      <c r="N250" s="144"/>
      <c r="O250" s="144"/>
      <c r="P250" s="144"/>
      <c r="Q250" s="144"/>
      <c r="R250" s="144"/>
      <c r="S250" s="143"/>
      <c r="T250" s="145"/>
      <c r="U250" s="146"/>
      <c r="V250" s="145"/>
      <c r="W250" s="147"/>
      <c r="X250" s="145"/>
      <c r="Y250" s="145"/>
      <c r="Z250" s="148"/>
      <c r="AA250" s="137"/>
    </row>
    <row r="251" spans="1:27" s="92" customFormat="1" x14ac:dyDescent="0.3">
      <c r="A251" s="137"/>
      <c r="B251" s="138"/>
      <c r="C251" s="138"/>
      <c r="D251" s="139"/>
      <c r="E251" s="140"/>
      <c r="F251" s="141"/>
      <c r="G251" s="142"/>
      <c r="H251" s="143"/>
      <c r="I251" s="143"/>
      <c r="J251" s="144"/>
      <c r="K251" s="144"/>
      <c r="L251" s="144"/>
      <c r="M251" s="144"/>
      <c r="N251" s="144"/>
      <c r="O251" s="144"/>
      <c r="P251" s="144"/>
      <c r="Q251" s="144"/>
      <c r="R251" s="144"/>
      <c r="S251" s="143"/>
      <c r="T251" s="145"/>
      <c r="U251" s="146"/>
      <c r="V251" s="145"/>
      <c r="W251" s="147"/>
      <c r="X251" s="145"/>
      <c r="Y251" s="145"/>
      <c r="Z251" s="148"/>
      <c r="AA251" s="137"/>
    </row>
    <row r="252" spans="1:27" s="92" customFormat="1" x14ac:dyDescent="0.3">
      <c r="A252" s="137"/>
      <c r="B252" s="138"/>
      <c r="C252" s="138"/>
      <c r="D252" s="139"/>
      <c r="E252" s="140"/>
      <c r="F252" s="141"/>
      <c r="G252" s="142"/>
      <c r="H252" s="143"/>
      <c r="I252" s="143"/>
      <c r="J252" s="144"/>
      <c r="K252" s="144"/>
      <c r="L252" s="144"/>
      <c r="M252" s="144"/>
      <c r="N252" s="144"/>
      <c r="O252" s="144"/>
      <c r="P252" s="144"/>
      <c r="Q252" s="144"/>
      <c r="R252" s="144"/>
      <c r="S252" s="143"/>
      <c r="T252" s="145"/>
      <c r="U252" s="146"/>
      <c r="V252" s="145"/>
      <c r="W252" s="147"/>
      <c r="X252" s="145"/>
      <c r="Y252" s="145"/>
      <c r="Z252" s="148"/>
      <c r="AA252" s="137"/>
    </row>
    <row r="253" spans="1:27" s="92" customFormat="1" x14ac:dyDescent="0.3">
      <c r="A253" s="137"/>
      <c r="B253" s="138"/>
      <c r="C253" s="138"/>
      <c r="D253" s="139"/>
      <c r="E253" s="140"/>
      <c r="F253" s="141"/>
      <c r="G253" s="142"/>
      <c r="H253" s="143"/>
      <c r="I253" s="143"/>
      <c r="J253" s="144"/>
      <c r="K253" s="144"/>
      <c r="L253" s="144"/>
      <c r="M253" s="144"/>
      <c r="N253" s="144"/>
      <c r="O253" s="144"/>
      <c r="P253" s="144"/>
      <c r="Q253" s="144"/>
      <c r="R253" s="144"/>
      <c r="S253" s="143"/>
      <c r="T253" s="145"/>
      <c r="U253" s="146"/>
      <c r="V253" s="145"/>
      <c r="W253" s="147"/>
      <c r="X253" s="145"/>
      <c r="Y253" s="145"/>
      <c r="Z253" s="148"/>
      <c r="AA253" s="137"/>
    </row>
    <row r="254" spans="1:27" s="92" customFormat="1" x14ac:dyDescent="0.3">
      <c r="A254" s="137"/>
      <c r="B254" s="138"/>
      <c r="C254" s="138"/>
      <c r="D254" s="139"/>
      <c r="E254" s="140"/>
      <c r="F254" s="141"/>
      <c r="G254" s="142"/>
      <c r="H254" s="143"/>
      <c r="I254" s="143"/>
      <c r="J254" s="144"/>
      <c r="K254" s="144"/>
      <c r="L254" s="144"/>
      <c r="M254" s="144"/>
      <c r="N254" s="144"/>
      <c r="O254" s="144"/>
      <c r="P254" s="144"/>
      <c r="Q254" s="144"/>
      <c r="R254" s="144"/>
      <c r="S254" s="143"/>
      <c r="T254" s="145"/>
      <c r="U254" s="146"/>
      <c r="V254" s="145"/>
      <c r="W254" s="147"/>
      <c r="X254" s="145"/>
      <c r="Y254" s="145"/>
      <c r="Z254" s="148"/>
      <c r="AA254" s="137"/>
    </row>
    <row r="255" spans="1:27" s="92" customFormat="1" x14ac:dyDescent="0.3">
      <c r="A255" s="137"/>
      <c r="B255" s="138"/>
      <c r="C255" s="138"/>
      <c r="D255" s="139"/>
      <c r="E255" s="140"/>
      <c r="F255" s="141"/>
      <c r="G255" s="142"/>
      <c r="H255" s="143"/>
      <c r="I255" s="143"/>
      <c r="J255" s="144"/>
      <c r="K255" s="144"/>
      <c r="L255" s="144"/>
      <c r="M255" s="144"/>
      <c r="N255" s="144"/>
      <c r="O255" s="144"/>
      <c r="P255" s="144"/>
      <c r="Q255" s="144"/>
      <c r="R255" s="144"/>
      <c r="S255" s="143"/>
      <c r="T255" s="145"/>
      <c r="U255" s="146"/>
      <c r="V255" s="145"/>
      <c r="W255" s="147"/>
      <c r="X255" s="145"/>
      <c r="Y255" s="145"/>
      <c r="Z255" s="148"/>
      <c r="AA255" s="137"/>
    </row>
    <row r="256" spans="1:27" s="92" customFormat="1" x14ac:dyDescent="0.3">
      <c r="A256" s="137"/>
      <c r="B256" s="138"/>
      <c r="C256" s="138"/>
      <c r="D256" s="139"/>
      <c r="E256" s="140"/>
      <c r="F256" s="141"/>
      <c r="G256" s="142"/>
      <c r="H256" s="143"/>
      <c r="I256" s="143"/>
      <c r="J256" s="144"/>
      <c r="K256" s="144"/>
      <c r="L256" s="144"/>
      <c r="M256" s="144"/>
      <c r="N256" s="144"/>
      <c r="O256" s="144"/>
      <c r="P256" s="144"/>
      <c r="Q256" s="144"/>
      <c r="R256" s="144"/>
      <c r="S256" s="143"/>
      <c r="T256" s="145"/>
      <c r="U256" s="146"/>
      <c r="V256" s="145"/>
      <c r="W256" s="147"/>
      <c r="X256" s="145"/>
      <c r="Y256" s="145"/>
      <c r="Z256" s="148"/>
      <c r="AA256" s="137"/>
    </row>
    <row r="257" spans="1:27" s="92" customFormat="1" x14ac:dyDescent="0.3">
      <c r="A257" s="137"/>
      <c r="B257" s="138"/>
      <c r="C257" s="138"/>
      <c r="D257" s="139"/>
      <c r="E257" s="140"/>
      <c r="F257" s="141"/>
      <c r="G257" s="142"/>
      <c r="H257" s="143"/>
      <c r="I257" s="143"/>
      <c r="J257" s="144"/>
      <c r="K257" s="144"/>
      <c r="L257" s="144"/>
      <c r="M257" s="144"/>
      <c r="N257" s="144"/>
      <c r="O257" s="144"/>
      <c r="P257" s="144"/>
      <c r="Q257" s="144"/>
      <c r="R257" s="144"/>
      <c r="S257" s="143"/>
      <c r="T257" s="145"/>
      <c r="U257" s="146"/>
      <c r="V257" s="145"/>
      <c r="W257" s="147"/>
      <c r="X257" s="145"/>
      <c r="Y257" s="145"/>
      <c r="Z257" s="148"/>
      <c r="AA257" s="137"/>
    </row>
    <row r="258" spans="1:27" s="92" customFormat="1" x14ac:dyDescent="0.3">
      <c r="A258" s="137"/>
      <c r="B258" s="138"/>
      <c r="C258" s="138"/>
      <c r="D258" s="139"/>
      <c r="E258" s="140"/>
      <c r="F258" s="141"/>
      <c r="G258" s="142"/>
      <c r="H258" s="143"/>
      <c r="I258" s="143"/>
      <c r="J258" s="144"/>
      <c r="K258" s="144"/>
      <c r="L258" s="144"/>
      <c r="M258" s="144"/>
      <c r="N258" s="144"/>
      <c r="O258" s="144"/>
      <c r="P258" s="144"/>
      <c r="Q258" s="144"/>
      <c r="R258" s="144"/>
      <c r="S258" s="143"/>
      <c r="T258" s="145"/>
      <c r="U258" s="146"/>
      <c r="V258" s="145"/>
      <c r="W258" s="147"/>
      <c r="X258" s="145"/>
      <c r="Y258" s="145"/>
      <c r="Z258" s="148"/>
      <c r="AA258" s="137"/>
    </row>
    <row r="259" spans="1:27" s="92" customFormat="1" x14ac:dyDescent="0.3">
      <c r="A259" s="137"/>
      <c r="B259" s="138"/>
      <c r="C259" s="138"/>
      <c r="D259" s="139"/>
      <c r="E259" s="140"/>
      <c r="F259" s="141"/>
      <c r="G259" s="142"/>
      <c r="H259" s="143"/>
      <c r="I259" s="143"/>
      <c r="J259" s="144"/>
      <c r="K259" s="144"/>
      <c r="L259" s="144"/>
      <c r="M259" s="144"/>
      <c r="N259" s="144"/>
      <c r="O259" s="144"/>
      <c r="P259" s="144"/>
      <c r="Q259" s="144"/>
      <c r="R259" s="144"/>
      <c r="S259" s="143"/>
      <c r="T259" s="145"/>
      <c r="U259" s="146"/>
      <c r="V259" s="145"/>
      <c r="W259" s="147"/>
      <c r="X259" s="145"/>
      <c r="Y259" s="145"/>
      <c r="Z259" s="148"/>
      <c r="AA259" s="137"/>
    </row>
    <row r="260" spans="1:27" s="92" customFormat="1" x14ac:dyDescent="0.3">
      <c r="A260" s="137"/>
      <c r="B260" s="138"/>
      <c r="C260" s="138"/>
      <c r="D260" s="139"/>
      <c r="E260" s="140"/>
      <c r="F260" s="141"/>
      <c r="G260" s="142"/>
      <c r="H260" s="143"/>
      <c r="I260" s="143"/>
      <c r="J260" s="144"/>
      <c r="K260" s="144"/>
      <c r="L260" s="144"/>
      <c r="M260" s="144"/>
      <c r="N260" s="144"/>
      <c r="O260" s="144"/>
      <c r="P260" s="144"/>
      <c r="Q260" s="144"/>
      <c r="R260" s="144"/>
      <c r="S260" s="143"/>
      <c r="T260" s="145"/>
      <c r="U260" s="146"/>
      <c r="V260" s="145"/>
      <c r="W260" s="147"/>
      <c r="X260" s="145"/>
      <c r="Y260" s="145"/>
      <c r="Z260" s="148"/>
      <c r="AA260" s="137"/>
    </row>
    <row r="261" spans="1:27" s="92" customFormat="1" x14ac:dyDescent="0.3">
      <c r="A261" s="137"/>
      <c r="B261" s="138"/>
      <c r="C261" s="138"/>
      <c r="D261" s="139"/>
      <c r="E261" s="140"/>
      <c r="F261" s="141"/>
      <c r="G261" s="142"/>
      <c r="H261" s="143"/>
      <c r="I261" s="143"/>
      <c r="J261" s="144"/>
      <c r="K261" s="144"/>
      <c r="L261" s="144"/>
      <c r="M261" s="144"/>
      <c r="N261" s="144"/>
      <c r="O261" s="144"/>
      <c r="P261" s="144"/>
      <c r="Q261" s="144"/>
      <c r="R261" s="144"/>
      <c r="S261" s="143"/>
      <c r="T261" s="145"/>
      <c r="U261" s="146"/>
      <c r="V261" s="145"/>
      <c r="W261" s="147"/>
      <c r="X261" s="145"/>
      <c r="Y261" s="145"/>
      <c r="Z261" s="148"/>
      <c r="AA261" s="137"/>
    </row>
    <row r="262" spans="1:27" s="92" customFormat="1" x14ac:dyDescent="0.3">
      <c r="A262" s="137"/>
      <c r="B262" s="138"/>
      <c r="C262" s="138"/>
      <c r="D262" s="139"/>
      <c r="E262" s="140"/>
      <c r="F262" s="141"/>
      <c r="G262" s="142"/>
      <c r="H262" s="143"/>
      <c r="I262" s="143"/>
      <c r="J262" s="144"/>
      <c r="K262" s="144"/>
      <c r="L262" s="144"/>
      <c r="M262" s="144"/>
      <c r="N262" s="144"/>
      <c r="O262" s="144"/>
      <c r="P262" s="144"/>
      <c r="Q262" s="144"/>
      <c r="R262" s="144"/>
      <c r="S262" s="143"/>
      <c r="T262" s="145"/>
      <c r="U262" s="146"/>
      <c r="V262" s="145"/>
      <c r="W262" s="147"/>
      <c r="X262" s="145"/>
      <c r="Y262" s="145"/>
      <c r="Z262" s="148"/>
      <c r="AA262" s="137"/>
    </row>
  </sheetData>
  <mergeCells count="10">
    <mergeCell ref="A3:A4"/>
    <mergeCell ref="B3:B4"/>
    <mergeCell ref="Z3:Z4"/>
    <mergeCell ref="AA3:AA4"/>
    <mergeCell ref="B1:Y1"/>
    <mergeCell ref="G3:S3"/>
    <mergeCell ref="T3:T4"/>
    <mergeCell ref="U3:U4"/>
    <mergeCell ref="V3:Y3"/>
    <mergeCell ref="C3:F3"/>
  </mergeCells>
  <pageMargins left="0.39370078740157499" right="0.23622047244094499" top="0.74803149606299202" bottom="0.74803149606299202" header="0.31496062992126" footer="0.31496062992126"/>
  <pageSetup paperSize="9" scale="40" fitToHeight="0" orientation="landscape" r:id="rId1"/>
  <headerFooter>
    <oddFooter>&amp;C&amp;P/&amp;N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1:FE60"/>
  <sheetViews>
    <sheetView zoomScaleNormal="100" workbookViewId="0">
      <pane xSplit="3" ySplit="5" topLeftCell="M11" activePane="bottomRight" state="frozen"/>
      <selection pane="topRight" activeCell="D1" sqref="D1"/>
      <selection pane="bottomLeft" activeCell="A6" sqref="A6"/>
      <selection pane="bottomRight" activeCell="F54" sqref="F54"/>
    </sheetView>
  </sheetViews>
  <sheetFormatPr baseColWidth="10" defaultColWidth="11.44140625" defaultRowHeight="13.2" x14ac:dyDescent="0.25"/>
  <cols>
    <col min="1" max="1" width="10" style="43" customWidth="1"/>
    <col min="2" max="2" width="76.5546875" style="56" customWidth="1"/>
    <col min="3" max="3" width="13.5546875" style="56" hidden="1" customWidth="1"/>
    <col min="4" max="4" width="11.5546875" style="57" customWidth="1"/>
    <col min="5" max="5" width="12" style="58" customWidth="1"/>
    <col min="6" max="6" width="12.44140625" style="58" customWidth="1"/>
    <col min="7" max="7" width="12.109375" style="58" customWidth="1"/>
    <col min="8" max="8" width="17.109375" style="59" customWidth="1"/>
    <col min="9" max="9" width="7.44140625" style="59" customWidth="1"/>
    <col min="10" max="10" width="12.44140625" style="60" customWidth="1"/>
    <col min="11" max="11" width="7.5546875" style="60" customWidth="1"/>
    <col min="12" max="12" width="14.5546875" style="60" customWidth="1"/>
    <col min="13" max="13" width="8.44140625" style="60" customWidth="1"/>
    <col min="14" max="14" width="16.5546875" style="60" customWidth="1"/>
    <col min="15" max="15" width="8.44140625" style="60" customWidth="1"/>
    <col min="16" max="16" width="17.109375" style="60" customWidth="1"/>
    <col min="17" max="17" width="8" style="60" customWidth="1"/>
    <col min="18" max="18" width="19.44140625" style="60" customWidth="1"/>
    <col min="19" max="19" width="19.44140625" style="59" customWidth="1"/>
    <col min="20" max="20" width="16.5546875" style="61" customWidth="1"/>
    <col min="21" max="21" width="14.44140625" style="62" customWidth="1"/>
    <col min="22" max="22" width="5.5546875" style="61" customWidth="1"/>
    <col min="23" max="23" width="3.5546875" style="63" customWidth="1"/>
    <col min="24" max="24" width="4.5546875" style="61" customWidth="1"/>
    <col min="25" max="25" width="4" style="61" customWidth="1"/>
    <col min="26" max="26" width="15.44140625" style="54" customWidth="1"/>
    <col min="27" max="27" width="10" style="45" customWidth="1"/>
    <col min="28" max="161" width="11.44140625" style="4"/>
    <col min="162" max="16384" width="11.44140625" style="5"/>
  </cols>
  <sheetData>
    <row r="1" spans="1:27" ht="18" x14ac:dyDescent="0.25">
      <c r="B1" s="741"/>
      <c r="C1" s="741"/>
      <c r="D1" s="741"/>
      <c r="E1" s="741"/>
      <c r="F1" s="741"/>
      <c r="G1" s="741"/>
      <c r="H1" s="741"/>
      <c r="I1" s="741"/>
      <c r="J1" s="741"/>
      <c r="K1" s="741"/>
      <c r="L1" s="741"/>
      <c r="M1" s="741"/>
      <c r="N1" s="741"/>
      <c r="O1" s="741"/>
      <c r="P1" s="741"/>
      <c r="Q1" s="741"/>
      <c r="R1" s="741"/>
      <c r="S1" s="741"/>
      <c r="T1" s="741"/>
      <c r="U1" s="741"/>
      <c r="V1" s="741"/>
      <c r="W1" s="741"/>
      <c r="X1" s="741"/>
      <c r="Y1" s="741"/>
      <c r="Z1" s="44"/>
    </row>
    <row r="2" spans="1:27" ht="15.75" customHeight="1" x14ac:dyDescent="0.25">
      <c r="B2" s="46"/>
      <c r="C2" s="46"/>
      <c r="D2" s="47"/>
      <c r="E2" s="48"/>
      <c r="F2" s="48"/>
      <c r="G2" s="48"/>
      <c r="H2" s="49"/>
      <c r="I2" s="49"/>
      <c r="J2" s="50"/>
      <c r="K2" s="50"/>
      <c r="L2" s="50"/>
      <c r="M2" s="50"/>
      <c r="N2" s="50"/>
      <c r="O2" s="50"/>
      <c r="P2" s="50"/>
      <c r="Q2" s="50"/>
      <c r="R2" s="50"/>
      <c r="S2" s="49"/>
      <c r="T2" s="51"/>
      <c r="U2" s="52"/>
      <c r="V2" s="51"/>
      <c r="W2" s="51"/>
      <c r="X2" s="51"/>
      <c r="Y2" s="53"/>
      <c r="AA2" s="43"/>
    </row>
    <row r="3" spans="1:27" ht="23.1" customHeight="1" x14ac:dyDescent="0.25">
      <c r="A3" s="738" t="s">
        <v>0</v>
      </c>
      <c r="B3" s="739" t="s">
        <v>65</v>
      </c>
      <c r="C3" s="747" t="s">
        <v>52</v>
      </c>
      <c r="D3" s="748"/>
      <c r="E3" s="748"/>
      <c r="F3" s="749"/>
      <c r="G3" s="742" t="s">
        <v>4</v>
      </c>
      <c r="H3" s="743"/>
      <c r="I3" s="743"/>
      <c r="J3" s="743"/>
      <c r="K3" s="743"/>
      <c r="L3" s="743"/>
      <c r="M3" s="743"/>
      <c r="N3" s="743"/>
      <c r="O3" s="743"/>
      <c r="P3" s="743"/>
      <c r="Q3" s="743"/>
      <c r="R3" s="744"/>
      <c r="S3" s="745" t="s">
        <v>17</v>
      </c>
      <c r="T3" s="724" t="s">
        <v>242</v>
      </c>
      <c r="U3" s="745" t="s">
        <v>6</v>
      </c>
      <c r="V3" s="745" t="s">
        <v>7</v>
      </c>
      <c r="W3" s="746"/>
      <c r="X3" s="746"/>
      <c r="Y3" s="746"/>
      <c r="Z3" s="740" t="s">
        <v>8</v>
      </c>
      <c r="AA3" s="740" t="s">
        <v>9</v>
      </c>
    </row>
    <row r="4" spans="1:27" ht="24" customHeight="1" x14ac:dyDescent="0.25">
      <c r="A4" s="738"/>
      <c r="B4" s="739"/>
      <c r="C4" s="157" t="s">
        <v>53</v>
      </c>
      <c r="D4" s="158" t="s">
        <v>1</v>
      </c>
      <c r="E4" s="159" t="s">
        <v>2</v>
      </c>
      <c r="F4" s="160" t="s">
        <v>3</v>
      </c>
      <c r="G4" s="88" t="s">
        <v>10</v>
      </c>
      <c r="H4" s="89" t="s">
        <v>11</v>
      </c>
      <c r="I4" s="89" t="s">
        <v>10</v>
      </c>
      <c r="J4" s="89" t="s">
        <v>12</v>
      </c>
      <c r="K4" s="89" t="s">
        <v>10</v>
      </c>
      <c r="L4" s="89" t="s">
        <v>13</v>
      </c>
      <c r="M4" s="89" t="s">
        <v>10</v>
      </c>
      <c r="N4" s="89" t="s">
        <v>14</v>
      </c>
      <c r="O4" s="89" t="s">
        <v>10</v>
      </c>
      <c r="P4" s="89" t="s">
        <v>15</v>
      </c>
      <c r="Q4" s="89" t="s">
        <v>10</v>
      </c>
      <c r="R4" s="89" t="s">
        <v>16</v>
      </c>
      <c r="S4" s="746"/>
      <c r="T4" s="725"/>
      <c r="U4" s="746"/>
      <c r="V4" s="90" t="s">
        <v>18</v>
      </c>
      <c r="W4" s="90" t="s">
        <v>19</v>
      </c>
      <c r="X4" s="90" t="s">
        <v>20</v>
      </c>
      <c r="Y4" s="90" t="s">
        <v>21</v>
      </c>
      <c r="Z4" s="740"/>
      <c r="AA4" s="740"/>
    </row>
    <row r="5" spans="1:27" s="199" customFormat="1" ht="24" customHeight="1" x14ac:dyDescent="0.25">
      <c r="A5" s="269" t="s">
        <v>82</v>
      </c>
      <c r="B5" s="269" t="s">
        <v>100</v>
      </c>
      <c r="C5" s="270"/>
      <c r="D5" s="271"/>
      <c r="E5" s="271"/>
      <c r="F5" s="270"/>
      <c r="G5" s="272"/>
      <c r="H5" s="273"/>
      <c r="I5" s="273"/>
      <c r="J5" s="273"/>
      <c r="K5" s="272"/>
      <c r="L5" s="273"/>
      <c r="M5" s="272"/>
      <c r="N5" s="273"/>
      <c r="O5" s="273"/>
      <c r="P5" s="273"/>
      <c r="Q5" s="273"/>
      <c r="R5" s="273"/>
      <c r="S5" s="273"/>
      <c r="T5" s="273"/>
      <c r="U5" s="273"/>
      <c r="V5" s="273"/>
      <c r="W5" s="273"/>
      <c r="X5" s="273"/>
      <c r="Y5" s="273"/>
      <c r="Z5" s="274"/>
      <c r="AA5" s="274"/>
    </row>
    <row r="6" spans="1:27" s="322" customFormat="1" ht="14.4" x14ac:dyDescent="0.3">
      <c r="A6" s="169" t="s">
        <v>83</v>
      </c>
      <c r="B6" s="169" t="s">
        <v>153</v>
      </c>
      <c r="C6" s="277"/>
      <c r="D6" s="277"/>
      <c r="E6" s="278"/>
      <c r="F6" s="268"/>
      <c r="G6" s="337"/>
      <c r="H6" s="338">
        <f>H7+H15+H19+H22+H25</f>
        <v>346519.91000000003</v>
      </c>
      <c r="I6" s="338"/>
      <c r="J6" s="338">
        <f>J7+J15+J19+J22+J25</f>
        <v>0</v>
      </c>
      <c r="K6" s="337"/>
      <c r="L6" s="338">
        <f>L7+L15+L19+L22+L25</f>
        <v>7835.67</v>
      </c>
      <c r="M6" s="337"/>
      <c r="N6" s="338">
        <f>N7+N15+N19+N22+N25</f>
        <v>6000</v>
      </c>
      <c r="O6" s="338"/>
      <c r="P6" s="338">
        <f>P7+P15+P19+P22+P25</f>
        <v>0</v>
      </c>
      <c r="Q6" s="338"/>
      <c r="R6" s="338">
        <f>R7+R15+R19+R22+R25</f>
        <v>0</v>
      </c>
      <c r="S6" s="338">
        <f>S7+S15+S19+S22+S25</f>
        <v>360355.58</v>
      </c>
      <c r="T6" s="338"/>
      <c r="U6" s="338"/>
      <c r="V6" s="338"/>
      <c r="W6" s="338"/>
      <c r="X6" s="338"/>
      <c r="Y6" s="338"/>
      <c r="Z6" s="339"/>
      <c r="AA6" s="339"/>
    </row>
    <row r="7" spans="1:27" s="307" customFormat="1" ht="14.4" x14ac:dyDescent="0.3">
      <c r="A7" s="303" t="s">
        <v>84</v>
      </c>
      <c r="B7" s="303" t="s">
        <v>207</v>
      </c>
      <c r="C7" s="332"/>
      <c r="D7" s="333"/>
      <c r="E7" s="334"/>
      <c r="F7" s="335"/>
      <c r="G7" s="284"/>
      <c r="H7" s="284">
        <f>SUM(H8:H14)</f>
        <v>256144.08000000002</v>
      </c>
      <c r="I7" s="284"/>
      <c r="J7" s="284">
        <f>SUM(J8:J14)</f>
        <v>0</v>
      </c>
      <c r="K7" s="336"/>
      <c r="L7" s="284">
        <f>SUM(L8:L14)</f>
        <v>0</v>
      </c>
      <c r="M7" s="284"/>
      <c r="N7" s="284">
        <f>SUM(N8:N14)</f>
        <v>0</v>
      </c>
      <c r="O7" s="284"/>
      <c r="P7" s="284">
        <f>SUM(P8:P14)</f>
        <v>0</v>
      </c>
      <c r="Q7" s="284"/>
      <c r="R7" s="284">
        <f>SUM(R8:R14)</f>
        <v>0</v>
      </c>
      <c r="S7" s="284">
        <f>SUM(S8:S14)</f>
        <v>256144.08000000002</v>
      </c>
      <c r="T7" s="284"/>
      <c r="U7" s="284"/>
      <c r="V7" s="284"/>
      <c r="W7" s="284"/>
      <c r="X7" s="284"/>
      <c r="Y7" s="284"/>
      <c r="Z7" s="280"/>
      <c r="AA7" s="280"/>
    </row>
    <row r="8" spans="1:27" s="64" customFormat="1" ht="28.8" customHeight="1" x14ac:dyDescent="0.3">
      <c r="A8" s="439" t="s">
        <v>220</v>
      </c>
      <c r="B8" s="446" t="s">
        <v>585</v>
      </c>
      <c r="C8" s="448"/>
      <c r="D8" s="21" t="s">
        <v>586</v>
      </c>
      <c r="E8" s="16">
        <f>12/2</f>
        <v>6</v>
      </c>
      <c r="F8" s="25">
        <f>'BORDEREAU DES PRIX UNITAIRES'!C222</f>
        <v>3627</v>
      </c>
      <c r="G8" s="19">
        <v>1</v>
      </c>
      <c r="H8" s="25">
        <f t="shared" ref="H8:H14" si="0">S8*G8</f>
        <v>21762</v>
      </c>
      <c r="I8" s="25"/>
      <c r="J8" s="18">
        <f t="shared" ref="J8:J13" si="1">+S8*I8</f>
        <v>0</v>
      </c>
      <c r="K8" s="19"/>
      <c r="L8" s="25">
        <f t="shared" ref="L8:L14" si="2">S8*K8</f>
        <v>0</v>
      </c>
      <c r="M8" s="19"/>
      <c r="N8" s="25">
        <f t="shared" ref="N8:N13" si="3">S8*M8</f>
        <v>0</v>
      </c>
      <c r="O8" s="25"/>
      <c r="P8" s="25">
        <f t="shared" ref="P8:P13" si="4">+S8*O8</f>
        <v>0</v>
      </c>
      <c r="Q8" s="19"/>
      <c r="R8" s="25">
        <f t="shared" ref="R8:R13" si="5">+S8*Q8</f>
        <v>0</v>
      </c>
      <c r="S8" s="18">
        <f t="shared" ref="S8:S13" si="6">+E8*F8</f>
        <v>21762</v>
      </c>
      <c r="T8" s="18" t="s">
        <v>112</v>
      </c>
      <c r="U8" s="438" t="s">
        <v>113</v>
      </c>
      <c r="V8" s="449" t="s">
        <v>114</v>
      </c>
      <c r="W8" s="449" t="s">
        <v>114</v>
      </c>
      <c r="X8" s="449" t="s">
        <v>114</v>
      </c>
      <c r="Y8" s="449" t="s">
        <v>114</v>
      </c>
      <c r="Z8" s="450">
        <v>5</v>
      </c>
      <c r="AA8" s="20">
        <v>61</v>
      </c>
    </row>
    <row r="9" spans="1:27" s="64" customFormat="1" ht="67.2" customHeight="1" x14ac:dyDescent="0.3">
      <c r="A9" s="439" t="s">
        <v>221</v>
      </c>
      <c r="B9" s="446" t="s">
        <v>563</v>
      </c>
      <c r="C9" s="448"/>
      <c r="D9" s="21" t="s">
        <v>584</v>
      </c>
      <c r="E9" s="16">
        <f>12/2</f>
        <v>6</v>
      </c>
      <c r="F9" s="25">
        <f>'BORDEREAU DES PRIX UNITAIRES'!C234</f>
        <v>9388</v>
      </c>
      <c r="G9" s="19">
        <v>1</v>
      </c>
      <c r="H9" s="25">
        <f t="shared" si="0"/>
        <v>56328</v>
      </c>
      <c r="I9" s="25"/>
      <c r="J9" s="18">
        <f t="shared" si="1"/>
        <v>0</v>
      </c>
      <c r="K9" s="19"/>
      <c r="L9" s="25">
        <f t="shared" si="2"/>
        <v>0</v>
      </c>
      <c r="M9" s="19"/>
      <c r="N9" s="25">
        <f t="shared" si="3"/>
        <v>0</v>
      </c>
      <c r="O9" s="25"/>
      <c r="P9" s="25">
        <f t="shared" si="4"/>
        <v>0</v>
      </c>
      <c r="Q9" s="19"/>
      <c r="R9" s="25">
        <f t="shared" si="5"/>
        <v>0</v>
      </c>
      <c r="S9" s="18">
        <f t="shared" si="6"/>
        <v>56328</v>
      </c>
      <c r="T9" s="18" t="s">
        <v>112</v>
      </c>
      <c r="U9" s="438" t="s">
        <v>113</v>
      </c>
      <c r="V9" s="449" t="s">
        <v>114</v>
      </c>
      <c r="W9" s="449" t="s">
        <v>114</v>
      </c>
      <c r="X9" s="449" t="s">
        <v>114</v>
      </c>
      <c r="Y9" s="449" t="s">
        <v>114</v>
      </c>
      <c r="Z9" s="450">
        <v>5</v>
      </c>
      <c r="AA9" s="20">
        <v>61</v>
      </c>
    </row>
    <row r="10" spans="1:27" s="64" customFormat="1" ht="37.799999999999997" customHeight="1" x14ac:dyDescent="0.3">
      <c r="A10" s="439" t="s">
        <v>222</v>
      </c>
      <c r="B10" s="446" t="s">
        <v>565</v>
      </c>
      <c r="C10" s="448"/>
      <c r="D10" s="21" t="s">
        <v>584</v>
      </c>
      <c r="E10" s="16">
        <v>12</v>
      </c>
      <c r="F10" s="25">
        <f>'BORDEREAU DES PRIX UNITAIRES'!C245</f>
        <v>9836.58</v>
      </c>
      <c r="G10" s="19">
        <v>1</v>
      </c>
      <c r="H10" s="25">
        <f t="shared" si="0"/>
        <v>118038.95999999999</v>
      </c>
      <c r="I10" s="25"/>
      <c r="J10" s="18">
        <f t="shared" si="1"/>
        <v>0</v>
      </c>
      <c r="K10" s="19"/>
      <c r="L10" s="25">
        <f t="shared" si="2"/>
        <v>0</v>
      </c>
      <c r="M10" s="19"/>
      <c r="N10" s="25">
        <f t="shared" si="3"/>
        <v>0</v>
      </c>
      <c r="O10" s="25"/>
      <c r="P10" s="25">
        <f t="shared" si="4"/>
        <v>0</v>
      </c>
      <c r="Q10" s="19"/>
      <c r="R10" s="25">
        <f t="shared" si="5"/>
        <v>0</v>
      </c>
      <c r="S10" s="18">
        <f t="shared" si="6"/>
        <v>118038.95999999999</v>
      </c>
      <c r="T10" s="18" t="s">
        <v>112</v>
      </c>
      <c r="U10" s="438" t="s">
        <v>113</v>
      </c>
      <c r="V10" s="449" t="s">
        <v>114</v>
      </c>
      <c r="W10" s="449" t="s">
        <v>114</v>
      </c>
      <c r="X10" s="449" t="s">
        <v>114</v>
      </c>
      <c r="Y10" s="449" t="s">
        <v>114</v>
      </c>
      <c r="Z10" s="450">
        <v>5</v>
      </c>
      <c r="AA10" s="20">
        <v>61</v>
      </c>
    </row>
    <row r="11" spans="1:27" s="64" customFormat="1" ht="28.5" customHeight="1" x14ac:dyDescent="0.3">
      <c r="A11" s="439" t="s">
        <v>223</v>
      </c>
      <c r="B11" s="446" t="s">
        <v>567</v>
      </c>
      <c r="C11" s="448"/>
      <c r="D11" s="21" t="s">
        <v>584</v>
      </c>
      <c r="E11" s="16">
        <v>12</v>
      </c>
      <c r="F11" s="25">
        <f>'BORDEREAU DES PRIX UNITAIRES'!C251</f>
        <v>2483.38</v>
      </c>
      <c r="G11" s="19">
        <v>1</v>
      </c>
      <c r="H11" s="25">
        <f t="shared" si="0"/>
        <v>29800.560000000001</v>
      </c>
      <c r="I11" s="25"/>
      <c r="J11" s="18">
        <f t="shared" si="1"/>
        <v>0</v>
      </c>
      <c r="K11" s="19"/>
      <c r="L11" s="25">
        <f t="shared" si="2"/>
        <v>0</v>
      </c>
      <c r="M11" s="19"/>
      <c r="N11" s="25">
        <f t="shared" si="3"/>
        <v>0</v>
      </c>
      <c r="O11" s="25"/>
      <c r="P11" s="25">
        <f t="shared" si="4"/>
        <v>0</v>
      </c>
      <c r="Q11" s="19"/>
      <c r="R11" s="25">
        <f t="shared" si="5"/>
        <v>0</v>
      </c>
      <c r="S11" s="18">
        <f t="shared" si="6"/>
        <v>29800.560000000001</v>
      </c>
      <c r="T11" s="18" t="s">
        <v>112</v>
      </c>
      <c r="U11" s="438" t="s">
        <v>113</v>
      </c>
      <c r="V11" s="449" t="s">
        <v>114</v>
      </c>
      <c r="W11" s="449" t="s">
        <v>114</v>
      </c>
      <c r="X11" s="449" t="s">
        <v>114</v>
      </c>
      <c r="Y11" s="449" t="s">
        <v>114</v>
      </c>
      <c r="Z11" s="450">
        <v>5</v>
      </c>
      <c r="AA11" s="20">
        <v>61</v>
      </c>
    </row>
    <row r="12" spans="1:27" s="64" customFormat="1" ht="26.4" x14ac:dyDescent="0.3">
      <c r="A12" s="439" t="s">
        <v>224</v>
      </c>
      <c r="B12" s="446" t="s">
        <v>568</v>
      </c>
      <c r="C12" s="448"/>
      <c r="D12" s="21" t="s">
        <v>586</v>
      </c>
      <c r="E12" s="16">
        <v>12</v>
      </c>
      <c r="F12" s="25">
        <f>(((275000)+(275000*0.164)+(40000))/1000)*4</f>
        <v>1440.4</v>
      </c>
      <c r="G12" s="19">
        <v>1</v>
      </c>
      <c r="H12" s="25">
        <f t="shared" si="0"/>
        <v>17284.800000000003</v>
      </c>
      <c r="I12" s="25"/>
      <c r="J12" s="18">
        <f t="shared" si="1"/>
        <v>0</v>
      </c>
      <c r="K12" s="19"/>
      <c r="L12" s="25">
        <f t="shared" si="2"/>
        <v>0</v>
      </c>
      <c r="M12" s="19"/>
      <c r="N12" s="25">
        <f t="shared" si="3"/>
        <v>0</v>
      </c>
      <c r="O12" s="25"/>
      <c r="P12" s="25">
        <f t="shared" si="4"/>
        <v>0</v>
      </c>
      <c r="Q12" s="19"/>
      <c r="R12" s="25">
        <f t="shared" si="5"/>
        <v>0</v>
      </c>
      <c r="S12" s="18">
        <f t="shared" si="6"/>
        <v>17284.800000000003</v>
      </c>
      <c r="T12" s="18" t="s">
        <v>112</v>
      </c>
      <c r="U12" s="438" t="s">
        <v>113</v>
      </c>
      <c r="V12" s="449" t="s">
        <v>114</v>
      </c>
      <c r="W12" s="449" t="s">
        <v>114</v>
      </c>
      <c r="X12" s="449" t="s">
        <v>114</v>
      </c>
      <c r="Y12" s="449" t="s">
        <v>114</v>
      </c>
      <c r="Z12" s="450">
        <v>5</v>
      </c>
      <c r="AA12" s="20">
        <v>61</v>
      </c>
    </row>
    <row r="13" spans="1:27" s="64" customFormat="1" ht="26.4" x14ac:dyDescent="0.3">
      <c r="A13" s="439" t="s">
        <v>225</v>
      </c>
      <c r="B13" s="446" t="s">
        <v>501</v>
      </c>
      <c r="C13" s="448"/>
      <c r="D13" s="21" t="s">
        <v>111</v>
      </c>
      <c r="E13" s="16">
        <f>4*6</f>
        <v>24</v>
      </c>
      <c r="F13" s="25">
        <f>((160000)+(160000*0.164)+(40000))/1000</f>
        <v>226.24</v>
      </c>
      <c r="G13" s="19">
        <v>1</v>
      </c>
      <c r="H13" s="25">
        <f t="shared" si="0"/>
        <v>5429.76</v>
      </c>
      <c r="I13" s="25"/>
      <c r="J13" s="18">
        <f t="shared" si="1"/>
        <v>0</v>
      </c>
      <c r="K13" s="19"/>
      <c r="L13" s="25">
        <f t="shared" si="2"/>
        <v>0</v>
      </c>
      <c r="M13" s="19"/>
      <c r="N13" s="25">
        <f t="shared" si="3"/>
        <v>0</v>
      </c>
      <c r="O13" s="25"/>
      <c r="P13" s="25">
        <f t="shared" si="4"/>
        <v>0</v>
      </c>
      <c r="Q13" s="19"/>
      <c r="R13" s="25">
        <f t="shared" si="5"/>
        <v>0</v>
      </c>
      <c r="S13" s="18">
        <f t="shared" si="6"/>
        <v>5429.76</v>
      </c>
      <c r="T13" s="18" t="s">
        <v>112</v>
      </c>
      <c r="U13" s="438" t="s">
        <v>113</v>
      </c>
      <c r="V13" s="449" t="s">
        <v>114</v>
      </c>
      <c r="W13" s="449" t="s">
        <v>114</v>
      </c>
      <c r="X13" s="449" t="s">
        <v>114</v>
      </c>
      <c r="Y13" s="449" t="s">
        <v>114</v>
      </c>
      <c r="Z13" s="450">
        <v>5</v>
      </c>
      <c r="AA13" s="20">
        <v>61</v>
      </c>
    </row>
    <row r="14" spans="1:27" s="64" customFormat="1" ht="26.4" x14ac:dyDescent="0.3">
      <c r="A14" s="439" t="s">
        <v>602</v>
      </c>
      <c r="B14" s="439" t="s">
        <v>463</v>
      </c>
      <c r="C14" s="451"/>
      <c r="D14" s="21" t="s">
        <v>106</v>
      </c>
      <c r="E14" s="330">
        <v>1</v>
      </c>
      <c r="F14" s="25">
        <f>'BORDEREAU DES PRIX UNITAIRES'!F257</f>
        <v>7500</v>
      </c>
      <c r="G14" s="19">
        <v>1</v>
      </c>
      <c r="H14" s="25">
        <f t="shared" si="0"/>
        <v>7500</v>
      </c>
      <c r="I14" s="26"/>
      <c r="J14" s="18"/>
      <c r="K14" s="19"/>
      <c r="L14" s="25">
        <f t="shared" si="2"/>
        <v>0</v>
      </c>
      <c r="M14" s="19"/>
      <c r="N14" s="25"/>
      <c r="O14" s="26">
        <v>0</v>
      </c>
      <c r="P14" s="25"/>
      <c r="Q14" s="26">
        <v>0</v>
      </c>
      <c r="R14" s="25"/>
      <c r="S14" s="25">
        <f>E14*F14</f>
        <v>7500</v>
      </c>
      <c r="T14" s="22" t="s">
        <v>117</v>
      </c>
      <c r="U14" s="452" t="s">
        <v>129</v>
      </c>
      <c r="V14" s="22" t="s">
        <v>124</v>
      </c>
      <c r="W14" s="22" t="s">
        <v>124</v>
      </c>
      <c r="X14" s="22"/>
      <c r="Y14" s="22"/>
      <c r="Z14" s="442">
        <v>2</v>
      </c>
      <c r="AA14" s="20">
        <v>21</v>
      </c>
    </row>
    <row r="15" spans="1:27" s="307" customFormat="1" ht="14.4" x14ac:dyDescent="0.3">
      <c r="A15" s="303" t="s">
        <v>85</v>
      </c>
      <c r="B15" s="303" t="s">
        <v>208</v>
      </c>
      <c r="C15" s="279"/>
      <c r="D15" s="279"/>
      <c r="E15" s="340"/>
      <c r="F15" s="341"/>
      <c r="G15" s="284"/>
      <c r="H15" s="342">
        <f>SUM(H16:H18)</f>
        <v>24704.55</v>
      </c>
      <c r="I15" s="284"/>
      <c r="J15" s="342">
        <f>SUM(J16:J16)</f>
        <v>0</v>
      </c>
      <c r="K15" s="336"/>
      <c r="L15" s="342">
        <f>SUM(L16:L18)</f>
        <v>5422.95</v>
      </c>
      <c r="M15" s="284"/>
      <c r="N15" s="342">
        <f>SUM(N16:N18)</f>
        <v>0</v>
      </c>
      <c r="O15" s="284"/>
      <c r="P15" s="342">
        <f>SUM(P16:P18)</f>
        <v>0</v>
      </c>
      <c r="Q15" s="284"/>
      <c r="R15" s="342">
        <f>SUM(R16:R18)</f>
        <v>0</v>
      </c>
      <c r="S15" s="342">
        <f>SUM(S16:S18)</f>
        <v>30127.5</v>
      </c>
      <c r="T15" s="342"/>
      <c r="U15" s="343"/>
      <c r="V15" s="344"/>
      <c r="W15" s="344"/>
      <c r="X15" s="344"/>
      <c r="Y15" s="344"/>
      <c r="Z15" s="280"/>
      <c r="AA15" s="280"/>
    </row>
    <row r="16" spans="1:27" s="64" customFormat="1" ht="30.6" customHeight="1" x14ac:dyDescent="0.3">
      <c r="A16" s="439" t="s">
        <v>226</v>
      </c>
      <c r="B16" s="439" t="s">
        <v>464</v>
      </c>
      <c r="C16" s="588"/>
      <c r="D16" s="21" t="s">
        <v>109</v>
      </c>
      <c r="E16" s="16">
        <v>1</v>
      </c>
      <c r="F16" s="25">
        <f>'BORDEREAU DES PRIX UNITAIRES'!F265</f>
        <v>14985</v>
      </c>
      <c r="G16" s="19">
        <v>0.82</v>
      </c>
      <c r="H16" s="108">
        <f>S16*G16</f>
        <v>12287.699999999999</v>
      </c>
      <c r="I16" s="108"/>
      <c r="J16" s="109">
        <f>+S16*I16</f>
        <v>0</v>
      </c>
      <c r="K16" s="133">
        <v>0.18</v>
      </c>
      <c r="L16" s="108">
        <f>S16*K16</f>
        <v>2697.2999999999997</v>
      </c>
      <c r="M16" s="133"/>
      <c r="N16" s="108"/>
      <c r="O16" s="108"/>
      <c r="P16" s="108">
        <f>+S16*O16</f>
        <v>0</v>
      </c>
      <c r="Q16" s="133"/>
      <c r="R16" s="108">
        <f>+S16*Q16</f>
        <v>0</v>
      </c>
      <c r="S16" s="109">
        <f>+E16*F16</f>
        <v>14985</v>
      </c>
      <c r="T16" s="109" t="s">
        <v>117</v>
      </c>
      <c r="U16" s="118" t="s">
        <v>138</v>
      </c>
      <c r="V16" s="119"/>
      <c r="W16" s="119" t="s">
        <v>124</v>
      </c>
      <c r="X16" s="109" t="s">
        <v>124</v>
      </c>
      <c r="Y16" s="109" t="s">
        <v>124</v>
      </c>
      <c r="Z16" s="453">
        <v>2</v>
      </c>
      <c r="AA16" s="112">
        <v>21</v>
      </c>
    </row>
    <row r="17" spans="1:27" s="64" customFormat="1" ht="28.8" x14ac:dyDescent="0.3">
      <c r="A17" s="439" t="s">
        <v>539</v>
      </c>
      <c r="B17" s="439" t="s">
        <v>465</v>
      </c>
      <c r="C17" s="451"/>
      <c r="D17" s="107" t="s">
        <v>137</v>
      </c>
      <c r="E17" s="117">
        <v>1</v>
      </c>
      <c r="F17" s="108">
        <f>'BORDEREAU DES PRIX UNITAIRES'!F276</f>
        <v>7142.5</v>
      </c>
      <c r="G17" s="133">
        <v>0.82</v>
      </c>
      <c r="H17" s="108">
        <f>S17*G17</f>
        <v>5856.8499999999995</v>
      </c>
      <c r="I17" s="108"/>
      <c r="J17" s="109">
        <f>+S17*I17</f>
        <v>0</v>
      </c>
      <c r="K17" s="133">
        <v>0.18</v>
      </c>
      <c r="L17" s="108">
        <f>S17*K17</f>
        <v>1285.6499999999999</v>
      </c>
      <c r="M17" s="133"/>
      <c r="N17" s="108">
        <f>S17*M17</f>
        <v>0</v>
      </c>
      <c r="O17" s="108"/>
      <c r="P17" s="108">
        <f>+S17*O17</f>
        <v>0</v>
      </c>
      <c r="Q17" s="133"/>
      <c r="R17" s="108">
        <f>+S17*Q17</f>
        <v>0</v>
      </c>
      <c r="S17" s="109">
        <f>+E17*F17</f>
        <v>7142.5</v>
      </c>
      <c r="T17" s="109" t="s">
        <v>117</v>
      </c>
      <c r="U17" s="118" t="s">
        <v>139</v>
      </c>
      <c r="V17" s="119" t="s">
        <v>124</v>
      </c>
      <c r="W17" s="119" t="s">
        <v>124</v>
      </c>
      <c r="X17" s="119"/>
      <c r="Y17" s="119"/>
      <c r="Z17" s="453">
        <v>2</v>
      </c>
      <c r="AA17" s="112">
        <v>21</v>
      </c>
    </row>
    <row r="18" spans="1:27" s="64" customFormat="1" ht="18" customHeight="1" x14ac:dyDescent="0.3">
      <c r="A18" s="439" t="s">
        <v>540</v>
      </c>
      <c r="B18" s="439" t="s">
        <v>502</v>
      </c>
      <c r="C18" s="451"/>
      <c r="D18" s="107" t="s">
        <v>109</v>
      </c>
      <c r="E18" s="117">
        <v>1</v>
      </c>
      <c r="F18" s="108">
        <v>8000</v>
      </c>
      <c r="G18" s="133">
        <v>0.82</v>
      </c>
      <c r="H18" s="108">
        <f>S18*G18</f>
        <v>6560</v>
      </c>
      <c r="I18" s="108"/>
      <c r="J18" s="109"/>
      <c r="K18" s="133">
        <v>0.18</v>
      </c>
      <c r="L18" s="108">
        <f>S18*K18</f>
        <v>1440</v>
      </c>
      <c r="M18" s="133"/>
      <c r="N18" s="108">
        <f>S18*M18</f>
        <v>0</v>
      </c>
      <c r="O18" s="108"/>
      <c r="P18" s="108">
        <f>+S18*O18</f>
        <v>0</v>
      </c>
      <c r="Q18" s="133"/>
      <c r="R18" s="108">
        <f>+S18*Q18</f>
        <v>0</v>
      </c>
      <c r="S18" s="109">
        <f>+E18*F18</f>
        <v>8000</v>
      </c>
      <c r="T18" s="109" t="s">
        <v>387</v>
      </c>
      <c r="U18" s="118" t="s">
        <v>139</v>
      </c>
      <c r="V18" s="119"/>
      <c r="W18" s="119" t="s">
        <v>114</v>
      </c>
      <c r="X18" s="119" t="s">
        <v>114</v>
      </c>
      <c r="Y18" s="119"/>
      <c r="Z18" s="453">
        <v>1</v>
      </c>
      <c r="AA18" s="112">
        <v>24</v>
      </c>
    </row>
    <row r="19" spans="1:27" s="307" customFormat="1" ht="14.4" x14ac:dyDescent="0.3">
      <c r="A19" s="303" t="s">
        <v>86</v>
      </c>
      <c r="B19" s="303" t="s">
        <v>209</v>
      </c>
      <c r="C19" s="345"/>
      <c r="D19" s="340"/>
      <c r="E19" s="346"/>
      <c r="F19" s="341"/>
      <c r="G19" s="336"/>
      <c r="H19" s="342">
        <f>SUM(H20:H21)</f>
        <v>24680</v>
      </c>
      <c r="I19" s="341"/>
      <c r="J19" s="342">
        <f>SUM(J20:J21)</f>
        <v>0</v>
      </c>
      <c r="K19" s="336"/>
      <c r="L19" s="342">
        <f>SUM(L20:L21)</f>
        <v>0</v>
      </c>
      <c r="M19" s="336"/>
      <c r="N19" s="342">
        <f>SUM(N20:N21)</f>
        <v>0</v>
      </c>
      <c r="O19" s="341"/>
      <c r="P19" s="342">
        <f>SUM(P20:P21)</f>
        <v>0</v>
      </c>
      <c r="Q19" s="336"/>
      <c r="R19" s="342">
        <f>SUM(R20:R21)</f>
        <v>0</v>
      </c>
      <c r="S19" s="342">
        <f>SUM(S20:S21)</f>
        <v>24680</v>
      </c>
      <c r="T19" s="342"/>
      <c r="U19" s="343"/>
      <c r="V19" s="344"/>
      <c r="W19" s="344"/>
      <c r="X19" s="344"/>
      <c r="Y19" s="344"/>
      <c r="Z19" s="281"/>
      <c r="AA19" s="281"/>
    </row>
    <row r="20" spans="1:27" s="64" customFormat="1" ht="27.6" customHeight="1" x14ac:dyDescent="0.3">
      <c r="A20" s="439" t="s">
        <v>227</v>
      </c>
      <c r="B20" s="116" t="s">
        <v>534</v>
      </c>
      <c r="C20" s="448"/>
      <c r="D20" s="21" t="s">
        <v>109</v>
      </c>
      <c r="E20" s="16">
        <v>4</v>
      </c>
      <c r="F20" s="25">
        <f>'BORDEREAU DES PRIX UNITAIRES'!F295</f>
        <v>2420</v>
      </c>
      <c r="G20" s="19">
        <v>1</v>
      </c>
      <c r="H20" s="25">
        <f>S20*G20</f>
        <v>9680</v>
      </c>
      <c r="I20" s="25"/>
      <c r="J20" s="18">
        <f>+S20*I20</f>
        <v>0</v>
      </c>
      <c r="K20" s="19"/>
      <c r="L20" s="25">
        <f>S20*K20</f>
        <v>0</v>
      </c>
      <c r="M20" s="19"/>
      <c r="N20" s="25"/>
      <c r="O20" s="25"/>
      <c r="P20" s="25">
        <f>+S20*O20</f>
        <v>0</v>
      </c>
      <c r="Q20" s="19"/>
      <c r="R20" s="25">
        <f>+S20*Q20</f>
        <v>0</v>
      </c>
      <c r="S20" s="18">
        <f>+E20*F20</f>
        <v>9680</v>
      </c>
      <c r="T20" s="18" t="s">
        <v>115</v>
      </c>
      <c r="U20" s="438" t="s">
        <v>116</v>
      </c>
      <c r="V20" s="449"/>
      <c r="W20" s="449" t="s">
        <v>114</v>
      </c>
      <c r="X20" s="18" t="s">
        <v>114</v>
      </c>
      <c r="Y20" s="18" t="s">
        <v>114</v>
      </c>
      <c r="Z20" s="450">
        <v>5</v>
      </c>
      <c r="AA20" s="20">
        <v>61</v>
      </c>
    </row>
    <row r="21" spans="1:27" s="64" customFormat="1" ht="29.4" customHeight="1" x14ac:dyDescent="0.3">
      <c r="A21" s="439" t="s">
        <v>547</v>
      </c>
      <c r="B21" s="573" t="s">
        <v>428</v>
      </c>
      <c r="D21" s="21" t="s">
        <v>427</v>
      </c>
      <c r="E21" s="16">
        <v>1</v>
      </c>
      <c r="F21" s="25">
        <f>'BORDEREAU DES PRIX UNITAIRES'!C341</f>
        <v>15000</v>
      </c>
      <c r="G21" s="19">
        <v>1</v>
      </c>
      <c r="H21" s="25">
        <f>S21*G21</f>
        <v>15000</v>
      </c>
      <c r="I21" s="448"/>
      <c r="J21" s="18">
        <f>+S21*I21</f>
        <v>0</v>
      </c>
      <c r="K21" s="448"/>
      <c r="L21" s="25">
        <f>S21*K21</f>
        <v>0</v>
      </c>
      <c r="M21" s="448"/>
      <c r="N21" s="448"/>
      <c r="O21" s="448"/>
      <c r="P21" s="448"/>
      <c r="Q21" s="448"/>
      <c r="R21" s="448"/>
      <c r="S21" s="18">
        <f>+E21*F21</f>
        <v>15000</v>
      </c>
      <c r="T21" s="18" t="s">
        <v>117</v>
      </c>
      <c r="U21" s="438" t="s">
        <v>138</v>
      </c>
      <c r="V21" s="448"/>
      <c r="W21" s="449" t="s">
        <v>114</v>
      </c>
      <c r="X21" s="18" t="s">
        <v>114</v>
      </c>
      <c r="Y21" s="448"/>
      <c r="Z21" s="453">
        <v>1</v>
      </c>
      <c r="AA21" s="112">
        <v>24</v>
      </c>
    </row>
    <row r="22" spans="1:27" s="307" customFormat="1" ht="14.4" x14ac:dyDescent="0.3">
      <c r="A22" s="303" t="s">
        <v>87</v>
      </c>
      <c r="B22" s="303" t="s">
        <v>210</v>
      </c>
      <c r="C22" s="345"/>
      <c r="D22" s="340"/>
      <c r="E22" s="346"/>
      <c r="F22" s="341"/>
      <c r="G22" s="336"/>
      <c r="H22" s="341">
        <f>SUM(H23:H24)</f>
        <v>10991.279999999999</v>
      </c>
      <c r="I22" s="341"/>
      <c r="J22" s="342">
        <f>SUM(J23:J24)</f>
        <v>0</v>
      </c>
      <c r="K22" s="336"/>
      <c r="L22" s="341">
        <f>SUM(L23:L24)</f>
        <v>2412.7200000000003</v>
      </c>
      <c r="M22" s="336"/>
      <c r="N22" s="341">
        <f>SUM(N23:N24)</f>
        <v>0</v>
      </c>
      <c r="O22" s="341"/>
      <c r="P22" s="341">
        <f>SUM(P23:P24)</f>
        <v>0</v>
      </c>
      <c r="Q22" s="336"/>
      <c r="R22" s="341">
        <f>SUM(R23:R24)</f>
        <v>0</v>
      </c>
      <c r="S22" s="342">
        <f>SUM(S23:S24)</f>
        <v>13404</v>
      </c>
      <c r="T22" s="342"/>
      <c r="U22" s="343"/>
      <c r="V22" s="344"/>
      <c r="W22" s="344"/>
      <c r="X22" s="344"/>
      <c r="Y22" s="344"/>
      <c r="Z22" s="281"/>
      <c r="AA22" s="281"/>
    </row>
    <row r="23" spans="1:27" s="64" customFormat="1" ht="45" customHeight="1" x14ac:dyDescent="0.3">
      <c r="A23" s="439" t="s">
        <v>228</v>
      </c>
      <c r="B23" s="439" t="s">
        <v>466</v>
      </c>
      <c r="C23" s="451"/>
      <c r="D23" s="107" t="s">
        <v>110</v>
      </c>
      <c r="E23" s="117">
        <v>6</v>
      </c>
      <c r="F23" s="108">
        <f>'BORDEREAU DES PRIX UNITAIRES'!D269</f>
        <v>700</v>
      </c>
      <c r="G23" s="133">
        <v>0.82</v>
      </c>
      <c r="H23" s="108">
        <f>S23*G23</f>
        <v>3444</v>
      </c>
      <c r="I23" s="108"/>
      <c r="J23" s="109">
        <f>+S23*I23</f>
        <v>0</v>
      </c>
      <c r="K23" s="133">
        <v>0.18</v>
      </c>
      <c r="L23" s="108">
        <f>S23*K23</f>
        <v>756</v>
      </c>
      <c r="M23" s="133"/>
      <c r="N23" s="108">
        <f>S23*M23</f>
        <v>0</v>
      </c>
      <c r="O23" s="108"/>
      <c r="P23" s="108">
        <f>+S23*O23</f>
        <v>0</v>
      </c>
      <c r="Q23" s="133"/>
      <c r="R23" s="108">
        <f>+S23*Q23</f>
        <v>0</v>
      </c>
      <c r="S23" s="109">
        <f>+E23*F23</f>
        <v>4200</v>
      </c>
      <c r="T23" s="109" t="s">
        <v>117</v>
      </c>
      <c r="U23" s="118" t="s">
        <v>139</v>
      </c>
      <c r="V23" s="119"/>
      <c r="W23" s="119" t="s">
        <v>124</v>
      </c>
      <c r="X23" s="119" t="s">
        <v>124</v>
      </c>
      <c r="Y23" s="119"/>
      <c r="Z23" s="453">
        <v>1</v>
      </c>
      <c r="AA23" s="112">
        <v>24</v>
      </c>
    </row>
    <row r="24" spans="1:27" s="64" customFormat="1" ht="28.8" x14ac:dyDescent="0.3">
      <c r="A24" s="439" t="s">
        <v>229</v>
      </c>
      <c r="B24" s="439" t="s">
        <v>467</v>
      </c>
      <c r="C24" s="514"/>
      <c r="D24" s="107" t="s">
        <v>109</v>
      </c>
      <c r="E24" s="129">
        <v>1</v>
      </c>
      <c r="F24" s="108">
        <f>'BORDEREAU DES PRIX UNITAIRES'!E284</f>
        <v>9204</v>
      </c>
      <c r="G24" s="133">
        <v>0.82</v>
      </c>
      <c r="H24" s="109">
        <f>+S24*G24</f>
        <v>7547.28</v>
      </c>
      <c r="I24" s="108"/>
      <c r="J24" s="109">
        <f>+S24*I24</f>
        <v>0</v>
      </c>
      <c r="K24" s="133">
        <v>0.18</v>
      </c>
      <c r="L24" s="108">
        <f>S24*K24</f>
        <v>1656.72</v>
      </c>
      <c r="M24" s="133"/>
      <c r="N24" s="108">
        <f>S24*M24</f>
        <v>0</v>
      </c>
      <c r="O24" s="133"/>
      <c r="P24" s="108">
        <f>+S24*O24</f>
        <v>0</v>
      </c>
      <c r="Q24" s="133"/>
      <c r="R24" s="108">
        <f>+S24*Q24</f>
        <v>0</v>
      </c>
      <c r="S24" s="109">
        <f>+E24*F24</f>
        <v>9204</v>
      </c>
      <c r="T24" s="108" t="s">
        <v>117</v>
      </c>
      <c r="U24" s="120" t="s">
        <v>139</v>
      </c>
      <c r="V24" s="108"/>
      <c r="W24" s="119" t="s">
        <v>124</v>
      </c>
      <c r="X24" s="119" t="s">
        <v>124</v>
      </c>
      <c r="Y24" s="108"/>
      <c r="Z24" s="513">
        <v>1</v>
      </c>
      <c r="AA24" s="115">
        <v>24</v>
      </c>
    </row>
    <row r="25" spans="1:27" s="348" customFormat="1" ht="14.4" x14ac:dyDescent="0.25">
      <c r="A25" s="303" t="s">
        <v>88</v>
      </c>
      <c r="B25" s="303" t="s">
        <v>211</v>
      </c>
      <c r="C25" s="345"/>
      <c r="D25" s="340"/>
      <c r="E25" s="347"/>
      <c r="F25" s="341"/>
      <c r="G25" s="336"/>
      <c r="H25" s="342">
        <f>SUM(H26:H27)</f>
        <v>30000</v>
      </c>
      <c r="I25" s="341"/>
      <c r="J25" s="342">
        <f>SUM(J26:J27)</f>
        <v>0</v>
      </c>
      <c r="K25" s="336"/>
      <c r="L25" s="342">
        <f>SUM(L26:L27)</f>
        <v>0</v>
      </c>
      <c r="M25" s="336"/>
      <c r="N25" s="342">
        <f>SUM(N26:N27)</f>
        <v>6000</v>
      </c>
      <c r="O25" s="341"/>
      <c r="P25" s="342">
        <f>SUM(P26:P27)</f>
        <v>0</v>
      </c>
      <c r="Q25" s="336"/>
      <c r="R25" s="342">
        <f>SUM(R26:R27)</f>
        <v>0</v>
      </c>
      <c r="S25" s="342">
        <f>SUM(S26:S27)</f>
        <v>36000</v>
      </c>
      <c r="T25" s="342"/>
      <c r="U25" s="343"/>
      <c r="V25" s="344"/>
      <c r="W25" s="344"/>
      <c r="X25" s="344"/>
      <c r="Y25" s="344"/>
      <c r="Z25" s="281"/>
      <c r="AA25" s="281"/>
    </row>
    <row r="26" spans="1:27" s="441" customFormat="1" ht="14.4" x14ac:dyDescent="0.25">
      <c r="A26" s="439" t="s">
        <v>230</v>
      </c>
      <c r="B26" s="454" t="s">
        <v>470</v>
      </c>
      <c r="C26" s="455"/>
      <c r="D26" s="21" t="s">
        <v>318</v>
      </c>
      <c r="E26" s="16">
        <v>6</v>
      </c>
      <c r="F26" s="25">
        <v>5000</v>
      </c>
      <c r="G26" s="19">
        <v>0.8</v>
      </c>
      <c r="H26" s="25">
        <f>S26*G26</f>
        <v>24000</v>
      </c>
      <c r="I26" s="25"/>
      <c r="J26" s="18">
        <f>+S26*I26</f>
        <v>0</v>
      </c>
      <c r="K26" s="19">
        <v>0</v>
      </c>
      <c r="L26" s="25">
        <f>S26*K26</f>
        <v>0</v>
      </c>
      <c r="M26" s="19">
        <v>0.2</v>
      </c>
      <c r="N26" s="25">
        <f>S26*M26</f>
        <v>6000</v>
      </c>
      <c r="O26" s="25"/>
      <c r="P26" s="25">
        <f>+S26*O26</f>
        <v>0</v>
      </c>
      <c r="Q26" s="19"/>
      <c r="R26" s="25">
        <f>+S26*Q26</f>
        <v>0</v>
      </c>
      <c r="S26" s="18">
        <f>+E26*F26</f>
        <v>30000</v>
      </c>
      <c r="T26" s="18" t="s">
        <v>117</v>
      </c>
      <c r="U26" s="438" t="s">
        <v>119</v>
      </c>
      <c r="V26" s="449" t="s">
        <v>114</v>
      </c>
      <c r="W26" s="449" t="s">
        <v>114</v>
      </c>
      <c r="X26" s="449" t="s">
        <v>114</v>
      </c>
      <c r="Y26" s="449" t="s">
        <v>114</v>
      </c>
      <c r="Z26" s="450">
        <v>5</v>
      </c>
      <c r="AA26" s="20">
        <v>62</v>
      </c>
    </row>
    <row r="27" spans="1:27" s="441" customFormat="1" ht="18.600000000000001" customHeight="1" x14ac:dyDescent="0.25">
      <c r="A27" s="439" t="s">
        <v>401</v>
      </c>
      <c r="B27" s="454" t="s">
        <v>471</v>
      </c>
      <c r="C27" s="599"/>
      <c r="D27" s="21" t="s">
        <v>318</v>
      </c>
      <c r="E27" s="16">
        <v>6</v>
      </c>
      <c r="F27" s="25">
        <v>1000</v>
      </c>
      <c r="G27" s="19">
        <v>1</v>
      </c>
      <c r="H27" s="25">
        <f>S27*G27</f>
        <v>6000</v>
      </c>
      <c r="I27" s="25"/>
      <c r="J27" s="18">
        <f>+S27*I27</f>
        <v>0</v>
      </c>
      <c r="K27" s="19">
        <v>0</v>
      </c>
      <c r="L27" s="25">
        <f>S27*K27</f>
        <v>0</v>
      </c>
      <c r="M27" s="19"/>
      <c r="N27" s="25">
        <f>S27*M27</f>
        <v>0</v>
      </c>
      <c r="O27" s="25"/>
      <c r="P27" s="25">
        <f>+S27*O27</f>
        <v>0</v>
      </c>
      <c r="Q27" s="19"/>
      <c r="R27" s="25">
        <f>+S27*Q27</f>
        <v>0</v>
      </c>
      <c r="S27" s="18">
        <f>+E27*F27</f>
        <v>6000</v>
      </c>
      <c r="T27" s="18" t="s">
        <v>117</v>
      </c>
      <c r="U27" s="438" t="s">
        <v>118</v>
      </c>
      <c r="V27" s="449" t="s">
        <v>114</v>
      </c>
      <c r="W27" s="449" t="s">
        <v>114</v>
      </c>
      <c r="X27" s="449" t="s">
        <v>114</v>
      </c>
      <c r="Y27" s="449" t="s">
        <v>114</v>
      </c>
      <c r="Z27" s="450">
        <v>5</v>
      </c>
      <c r="AA27" s="20">
        <v>62</v>
      </c>
    </row>
    <row r="28" spans="1:27" s="359" customFormat="1" ht="14.4" x14ac:dyDescent="0.25">
      <c r="A28" s="169" t="s">
        <v>89</v>
      </c>
      <c r="B28" s="169" t="s">
        <v>154</v>
      </c>
      <c r="C28" s="277"/>
      <c r="D28" s="278"/>
      <c r="E28" s="354"/>
      <c r="F28" s="355"/>
      <c r="G28" s="337"/>
      <c r="H28" s="356">
        <f>H29+H32+H35+H38+H42+H47+H49+H51+H56</f>
        <v>166969.84</v>
      </c>
      <c r="I28" s="338"/>
      <c r="J28" s="356">
        <f>J29+J32+J35+J38+J42+J47+J49+J51+J56</f>
        <v>0</v>
      </c>
      <c r="K28" s="337"/>
      <c r="L28" s="356">
        <f>L29+L32+L35+L38+L42+L47+L49+L51+L56</f>
        <v>5481</v>
      </c>
      <c r="M28" s="338"/>
      <c r="N28" s="356">
        <f>N29+N32+N35+N38+N42+N47+N49+N51+N56</f>
        <v>0</v>
      </c>
      <c r="O28" s="338"/>
      <c r="P28" s="356">
        <f>P29+P32+P35+P38+P42+P47+P49+P51+P56</f>
        <v>0</v>
      </c>
      <c r="Q28" s="338"/>
      <c r="R28" s="356">
        <f>R29+R32+R35+R38+R42+R47+R49+R51+R56</f>
        <v>0</v>
      </c>
      <c r="S28" s="356">
        <f>S29+S32+S35+S38+S42+S47+S49+S51+S56</f>
        <v>172450.84</v>
      </c>
      <c r="T28" s="357"/>
      <c r="U28" s="358"/>
      <c r="V28" s="275"/>
      <c r="W28" s="275"/>
      <c r="X28" s="276"/>
      <c r="Y28" s="276"/>
      <c r="Z28" s="339"/>
      <c r="AA28" s="339"/>
    </row>
    <row r="29" spans="1:27" s="348" customFormat="1" ht="14.4" x14ac:dyDescent="0.25">
      <c r="A29" s="303" t="s">
        <v>90</v>
      </c>
      <c r="B29" s="303" t="s">
        <v>212</v>
      </c>
      <c r="C29" s="279"/>
      <c r="D29" s="340"/>
      <c r="E29" s="347"/>
      <c r="F29" s="349"/>
      <c r="G29" s="336"/>
      <c r="H29" s="341">
        <f>SUM(H30:H31)</f>
        <v>34083.339999999997</v>
      </c>
      <c r="I29" s="284"/>
      <c r="J29" s="341">
        <f>SUM(J30:J31)</f>
        <v>0</v>
      </c>
      <c r="K29" s="336"/>
      <c r="L29" s="341">
        <f>SUM(L30:L31)</f>
        <v>0</v>
      </c>
      <c r="M29" s="284"/>
      <c r="N29" s="341">
        <f>SUM(N30:N31)</f>
        <v>0</v>
      </c>
      <c r="O29" s="284"/>
      <c r="P29" s="341">
        <f>SUM(P30:P31)</f>
        <v>0</v>
      </c>
      <c r="Q29" s="284"/>
      <c r="R29" s="341">
        <f>SUM(R30:R31)</f>
        <v>0</v>
      </c>
      <c r="S29" s="341">
        <f>SUM(S30:S31)</f>
        <v>34083.339999999997</v>
      </c>
      <c r="T29" s="350"/>
      <c r="U29" s="351"/>
      <c r="V29" s="282"/>
      <c r="W29" s="282"/>
      <c r="X29" s="283"/>
      <c r="Y29" s="283"/>
      <c r="Z29" s="280"/>
      <c r="AA29" s="280"/>
    </row>
    <row r="30" spans="1:27" s="441" customFormat="1" ht="54.6" customHeight="1" x14ac:dyDescent="0.25">
      <c r="A30" s="439" t="s">
        <v>376</v>
      </c>
      <c r="B30" s="454" t="s">
        <v>472</v>
      </c>
      <c r="C30" s="116"/>
      <c r="D30" s="21" t="s">
        <v>107</v>
      </c>
      <c r="E30" s="330">
        <v>1</v>
      </c>
      <c r="F30" s="25">
        <f>'BORDEREAU DES PRIX UNITAIRES'!C307</f>
        <v>30593.34</v>
      </c>
      <c r="G30" s="19">
        <v>1</v>
      </c>
      <c r="H30" s="25">
        <f>S30*G30</f>
        <v>30593.34</v>
      </c>
      <c r="I30" s="25"/>
      <c r="J30" s="18">
        <f>+S30*I30</f>
        <v>0</v>
      </c>
      <c r="K30" s="19"/>
      <c r="L30" s="25">
        <f>S30*K30</f>
        <v>0</v>
      </c>
      <c r="M30" s="19"/>
      <c r="N30" s="25">
        <f>S30*M30</f>
        <v>0</v>
      </c>
      <c r="O30" s="25"/>
      <c r="P30" s="25">
        <f>+S30*O30</f>
        <v>0</v>
      </c>
      <c r="Q30" s="19"/>
      <c r="R30" s="25"/>
      <c r="S30" s="25">
        <f>E30*F30</f>
        <v>30593.34</v>
      </c>
      <c r="T30" s="22" t="s">
        <v>120</v>
      </c>
      <c r="U30" s="452" t="s">
        <v>141</v>
      </c>
      <c r="V30" s="22" t="s">
        <v>124</v>
      </c>
      <c r="W30" s="22" t="s">
        <v>124</v>
      </c>
      <c r="X30" s="22"/>
      <c r="Y30" s="22"/>
      <c r="Z30" s="20">
        <v>2</v>
      </c>
      <c r="AA30" s="20">
        <v>21</v>
      </c>
    </row>
    <row r="31" spans="1:27" s="444" customFormat="1" ht="40.799999999999997" customHeight="1" x14ac:dyDescent="0.3">
      <c r="A31" s="439" t="s">
        <v>377</v>
      </c>
      <c r="B31" s="454" t="s">
        <v>569</v>
      </c>
      <c r="C31" s="114"/>
      <c r="D31" s="107" t="s">
        <v>110</v>
      </c>
      <c r="E31" s="107">
        <v>1</v>
      </c>
      <c r="F31" s="110">
        <v>3490</v>
      </c>
      <c r="G31" s="113">
        <v>1</v>
      </c>
      <c r="H31" s="108">
        <f>S31*G31</f>
        <v>3490</v>
      </c>
      <c r="I31" s="113"/>
      <c r="J31" s="109"/>
      <c r="K31" s="113"/>
      <c r="L31" s="108"/>
      <c r="M31" s="113"/>
      <c r="N31" s="109"/>
      <c r="O31" s="113"/>
      <c r="P31" s="108"/>
      <c r="Q31" s="113"/>
      <c r="R31" s="109"/>
      <c r="S31" s="109">
        <f>+E31*F31</f>
        <v>3490</v>
      </c>
      <c r="T31" s="109" t="s">
        <v>243</v>
      </c>
      <c r="U31" s="118" t="s">
        <v>275</v>
      </c>
      <c r="V31" s="109"/>
      <c r="W31" s="109"/>
      <c r="X31" s="109" t="s">
        <v>124</v>
      </c>
      <c r="Y31" s="109" t="s">
        <v>124</v>
      </c>
      <c r="Z31" s="115">
        <v>2</v>
      </c>
      <c r="AA31" s="115">
        <v>61</v>
      </c>
    </row>
    <row r="32" spans="1:27" s="348" customFormat="1" ht="14.4" x14ac:dyDescent="0.25">
      <c r="A32" s="303" t="s">
        <v>91</v>
      </c>
      <c r="B32" s="303" t="s">
        <v>274</v>
      </c>
      <c r="C32" s="345"/>
      <c r="D32" s="340"/>
      <c r="E32" s="347"/>
      <c r="F32" s="341"/>
      <c r="G32" s="336"/>
      <c r="H32" s="341">
        <f>SUM(H33:H34)</f>
        <v>20040</v>
      </c>
      <c r="I32" s="341"/>
      <c r="J32" s="341">
        <f>SUM(J33:J34)</f>
        <v>0</v>
      </c>
      <c r="K32" s="336"/>
      <c r="L32" s="341">
        <f>SUM(L33:L34)</f>
        <v>0</v>
      </c>
      <c r="M32" s="336"/>
      <c r="N32" s="341">
        <f>SUM(N33:N34)</f>
        <v>0</v>
      </c>
      <c r="O32" s="341"/>
      <c r="P32" s="341">
        <f>SUM(P33:P34)</f>
        <v>0</v>
      </c>
      <c r="Q32" s="336"/>
      <c r="R32" s="341">
        <f>SUM(R33:R34)</f>
        <v>0</v>
      </c>
      <c r="S32" s="341">
        <f>SUM(S33:S34)</f>
        <v>20040</v>
      </c>
      <c r="T32" s="350"/>
      <c r="U32" s="351"/>
      <c r="V32" s="350"/>
      <c r="W32" s="350"/>
      <c r="X32" s="350"/>
      <c r="Y32" s="350"/>
      <c r="Z32" s="281"/>
      <c r="AA32" s="281"/>
    </row>
    <row r="33" spans="1:27" s="441" customFormat="1" ht="28.8" x14ac:dyDescent="0.25">
      <c r="A33" s="439" t="s">
        <v>231</v>
      </c>
      <c r="B33" s="454" t="s">
        <v>473</v>
      </c>
      <c r="C33" s="116"/>
      <c r="D33" s="107" t="s">
        <v>107</v>
      </c>
      <c r="E33" s="129">
        <v>1</v>
      </c>
      <c r="F33" s="108">
        <v>15000</v>
      </c>
      <c r="G33" s="133">
        <v>1</v>
      </c>
      <c r="H33" s="108">
        <f>S33*G33</f>
        <v>15000</v>
      </c>
      <c r="I33" s="457"/>
      <c r="J33" s="109"/>
      <c r="K33" s="133"/>
      <c r="L33" s="108"/>
      <c r="M33" s="133"/>
      <c r="N33" s="108"/>
      <c r="O33" s="457"/>
      <c r="P33" s="108"/>
      <c r="Q33" s="457"/>
      <c r="R33" s="108"/>
      <c r="S33" s="108">
        <f>E33*F33</f>
        <v>15000</v>
      </c>
      <c r="T33" s="22" t="s">
        <v>246</v>
      </c>
      <c r="U33" s="452" t="s">
        <v>388</v>
      </c>
      <c r="V33" s="111"/>
      <c r="W33" s="111" t="s">
        <v>124</v>
      </c>
      <c r="X33" s="111" t="s">
        <v>124</v>
      </c>
      <c r="Y33" s="111" t="s">
        <v>124</v>
      </c>
      <c r="Z33" s="115">
        <v>4</v>
      </c>
      <c r="AA33" s="112">
        <v>61</v>
      </c>
    </row>
    <row r="34" spans="1:27" s="441" customFormat="1" ht="17.399999999999999" customHeight="1" x14ac:dyDescent="0.25">
      <c r="A34" s="439" t="s">
        <v>595</v>
      </c>
      <c r="B34" s="454" t="s">
        <v>594</v>
      </c>
      <c r="C34" s="114"/>
      <c r="D34" s="635" t="s">
        <v>106</v>
      </c>
      <c r="E34" s="287">
        <v>1</v>
      </c>
      <c r="F34" s="443">
        <f>'BORDEREAU DES PRIX UNITAIRES'!F314</f>
        <v>5040</v>
      </c>
      <c r="G34" s="288">
        <v>1</v>
      </c>
      <c r="H34" s="458">
        <f>+S34*G34</f>
        <v>5040</v>
      </c>
      <c r="I34" s="289"/>
      <c r="J34" s="18">
        <f>+S34*I34</f>
        <v>0</v>
      </c>
      <c r="K34" s="290"/>
      <c r="L34" s="18">
        <f>+S34*K34</f>
        <v>0</v>
      </c>
      <c r="M34" s="291"/>
      <c r="N34" s="108">
        <f>S34*M34</f>
        <v>0</v>
      </c>
      <c r="O34" s="289"/>
      <c r="P34" s="459">
        <f>+S34*O34</f>
        <v>0</v>
      </c>
      <c r="Q34" s="289"/>
      <c r="R34" s="460">
        <f>+S34*Q34</f>
        <v>0</v>
      </c>
      <c r="S34" s="461">
        <f>+E34*F34</f>
        <v>5040</v>
      </c>
      <c r="T34" s="292" t="s">
        <v>117</v>
      </c>
      <c r="U34" s="293" t="s">
        <v>422</v>
      </c>
      <c r="V34" s="294"/>
      <c r="W34" s="292" t="s">
        <v>114</v>
      </c>
      <c r="X34" s="292" t="s">
        <v>124</v>
      </c>
      <c r="Y34" s="295" t="s">
        <v>124</v>
      </c>
      <c r="Z34" s="296">
        <v>2</v>
      </c>
      <c r="AA34" s="297">
        <v>21</v>
      </c>
    </row>
    <row r="35" spans="1:27" s="456" customFormat="1" ht="14.4" x14ac:dyDescent="0.25">
      <c r="A35" s="303" t="s">
        <v>92</v>
      </c>
      <c r="B35" s="303" t="s">
        <v>213</v>
      </c>
      <c r="C35" s="91"/>
      <c r="D35" s="340"/>
      <c r="E35" s="340"/>
      <c r="F35" s="340"/>
      <c r="G35" s="340"/>
      <c r="H35" s="520">
        <f>SUM(H36:H37)</f>
        <v>8100</v>
      </c>
      <c r="I35" s="340"/>
      <c r="J35" s="639">
        <f>SUM(J36:J37)</f>
        <v>0</v>
      </c>
      <c r="K35" s="340"/>
      <c r="L35" s="520">
        <f>SUM(L36:L37)</f>
        <v>0</v>
      </c>
      <c r="M35" s="340"/>
      <c r="N35" s="639">
        <f>SUM(N36:N37)</f>
        <v>0</v>
      </c>
      <c r="O35" s="340"/>
      <c r="P35" s="639">
        <f>SUM(P36:P37)</f>
        <v>0</v>
      </c>
      <c r="Q35" s="340"/>
      <c r="R35" s="639">
        <f>SUM(R36:R37)</f>
        <v>0</v>
      </c>
      <c r="S35" s="520">
        <f>SUM(S36:S37)</f>
        <v>8100</v>
      </c>
      <c r="T35" s="340"/>
      <c r="U35" s="340"/>
      <c r="V35" s="340"/>
      <c r="W35" s="340"/>
      <c r="X35" s="340"/>
      <c r="Y35" s="340"/>
      <c r="Z35" s="340"/>
      <c r="AA35" s="340"/>
    </row>
    <row r="36" spans="1:27" s="4" customFormat="1" ht="28.8" x14ac:dyDescent="0.25">
      <c r="A36" s="213" t="s">
        <v>232</v>
      </c>
      <c r="B36" s="600" t="s">
        <v>475</v>
      </c>
      <c r="C36" s="601"/>
      <c r="D36" s="602" t="s">
        <v>110</v>
      </c>
      <c r="E36" s="603">
        <v>3</v>
      </c>
      <c r="F36" s="604">
        <f>'BORDEREAU DES PRIX UNITAIRES'!F351</f>
        <v>1015</v>
      </c>
      <c r="G36" s="605">
        <v>1</v>
      </c>
      <c r="H36" s="604">
        <f>S36*G36</f>
        <v>3045</v>
      </c>
      <c r="I36" s="606"/>
      <c r="J36" s="607">
        <f>+S36*I36</f>
        <v>0</v>
      </c>
      <c r="K36" s="605"/>
      <c r="L36" s="604">
        <f>S36*K36</f>
        <v>0</v>
      </c>
      <c r="M36" s="606"/>
      <c r="N36" s="604">
        <f>S36*M36</f>
        <v>0</v>
      </c>
      <c r="O36" s="606"/>
      <c r="P36" s="604">
        <f>+S36*O36</f>
        <v>0</v>
      </c>
      <c r="Q36" s="606"/>
      <c r="R36" s="604">
        <f>+S36*Q36</f>
        <v>0</v>
      </c>
      <c r="S36" s="604">
        <f>E36*F36</f>
        <v>3045</v>
      </c>
      <c r="T36" s="608" t="s">
        <v>140</v>
      </c>
      <c r="U36" s="609" t="s">
        <v>142</v>
      </c>
      <c r="V36" s="608"/>
      <c r="W36" s="608" t="s">
        <v>124</v>
      </c>
      <c r="X36" s="608" t="s">
        <v>124</v>
      </c>
      <c r="Y36" s="608" t="s">
        <v>124</v>
      </c>
      <c r="Z36" s="610">
        <v>4</v>
      </c>
      <c r="AA36" s="41">
        <v>61</v>
      </c>
    </row>
    <row r="37" spans="1:27" s="4" customFormat="1" ht="25.2" customHeight="1" x14ac:dyDescent="0.25">
      <c r="A37" s="213" t="s">
        <v>233</v>
      </c>
      <c r="B37" s="600" t="s">
        <v>474</v>
      </c>
      <c r="C37" s="601"/>
      <c r="D37" s="602" t="s">
        <v>110</v>
      </c>
      <c r="E37" s="603">
        <v>3</v>
      </c>
      <c r="F37" s="604">
        <f>((45*5*5)+(20*3)+500)</f>
        <v>1685</v>
      </c>
      <c r="G37" s="605">
        <v>1</v>
      </c>
      <c r="H37" s="285">
        <f>S37*G37</f>
        <v>5055</v>
      </c>
      <c r="I37" s="606"/>
      <c r="J37" s="40">
        <f>+S37*I37</f>
        <v>0</v>
      </c>
      <c r="K37" s="605"/>
      <c r="L37" s="604"/>
      <c r="M37" s="605"/>
      <c r="N37" s="604"/>
      <c r="O37" s="606"/>
      <c r="P37" s="604"/>
      <c r="Q37" s="606"/>
      <c r="R37" s="604"/>
      <c r="S37" s="604">
        <f>E37*F37</f>
        <v>5055</v>
      </c>
      <c r="T37" s="608" t="s">
        <v>120</v>
      </c>
      <c r="U37" s="609" t="s">
        <v>142</v>
      </c>
      <c r="V37" s="608"/>
      <c r="W37" s="608" t="s">
        <v>124</v>
      </c>
      <c r="X37" s="608"/>
      <c r="Y37" s="608" t="s">
        <v>124</v>
      </c>
      <c r="Z37" s="610">
        <v>4</v>
      </c>
      <c r="AA37" s="41">
        <v>61</v>
      </c>
    </row>
    <row r="38" spans="1:27" s="348" customFormat="1" ht="14.4" x14ac:dyDescent="0.25">
      <c r="A38" s="303" t="s">
        <v>93</v>
      </c>
      <c r="B38" s="303" t="s">
        <v>214</v>
      </c>
      <c r="C38" s="279"/>
      <c r="D38" s="340"/>
      <c r="E38" s="347"/>
      <c r="F38" s="341"/>
      <c r="G38" s="336"/>
      <c r="H38" s="341">
        <f>SUM(H39:H41)</f>
        <v>11469</v>
      </c>
      <c r="I38" s="284"/>
      <c r="J38" s="342">
        <f>SUM(J39:J41)</f>
        <v>0</v>
      </c>
      <c r="K38" s="336"/>
      <c r="L38" s="341">
        <f>SUM(L39:L41)</f>
        <v>1881</v>
      </c>
      <c r="M38" s="336"/>
      <c r="N38" s="341">
        <f>SUM(N39:N41)</f>
        <v>0</v>
      </c>
      <c r="O38" s="284"/>
      <c r="P38" s="341">
        <f>SUM(P39:P41)</f>
        <v>0</v>
      </c>
      <c r="Q38" s="284"/>
      <c r="R38" s="341">
        <f>SUM(R39:R41)</f>
        <v>0</v>
      </c>
      <c r="S38" s="341">
        <f>SUM(S39:S41)</f>
        <v>13350</v>
      </c>
      <c r="T38" s="350"/>
      <c r="U38" s="351"/>
      <c r="V38" s="350"/>
      <c r="W38" s="350"/>
      <c r="X38" s="350"/>
      <c r="Y38" s="350"/>
      <c r="Z38" s="280"/>
      <c r="AA38" s="281"/>
    </row>
    <row r="39" spans="1:27" s="441" customFormat="1" ht="14.4" x14ac:dyDescent="0.25">
      <c r="A39" s="439" t="s">
        <v>476</v>
      </c>
      <c r="B39" s="454" t="s">
        <v>610</v>
      </c>
      <c r="C39" s="114"/>
      <c r="D39" s="635" t="s">
        <v>106</v>
      </c>
      <c r="E39" s="287">
        <v>1</v>
      </c>
      <c r="F39" s="443">
        <f>'BORDEREAU DES PRIX UNITAIRES'!F322</f>
        <v>2900</v>
      </c>
      <c r="G39" s="288">
        <v>1</v>
      </c>
      <c r="H39" s="458">
        <f>+S39*G39</f>
        <v>2900</v>
      </c>
      <c r="I39" s="289"/>
      <c r="J39" s="18">
        <f>+S39*I39</f>
        <v>0</v>
      </c>
      <c r="K39" s="290"/>
      <c r="L39" s="18">
        <f>+S39*K39</f>
        <v>0</v>
      </c>
      <c r="M39" s="291"/>
      <c r="N39" s="108">
        <f>S39*M39</f>
        <v>0</v>
      </c>
      <c r="O39" s="289"/>
      <c r="P39" s="459">
        <f>+S39*O39</f>
        <v>0</v>
      </c>
      <c r="Q39" s="289"/>
      <c r="R39" s="460">
        <f>+S39*Q39</f>
        <v>0</v>
      </c>
      <c r="S39" s="461">
        <f>+E39*F39</f>
        <v>2900</v>
      </c>
      <c r="T39" s="292" t="s">
        <v>246</v>
      </c>
      <c r="U39" s="293" t="s">
        <v>261</v>
      </c>
      <c r="V39" s="294"/>
      <c r="W39" s="292" t="s">
        <v>114</v>
      </c>
      <c r="X39" s="292" t="s">
        <v>124</v>
      </c>
      <c r="Y39" s="295" t="s">
        <v>124</v>
      </c>
      <c r="Z39" s="296">
        <v>2</v>
      </c>
      <c r="AA39" s="297">
        <v>21</v>
      </c>
    </row>
    <row r="40" spans="1:27" s="441" customFormat="1" ht="14.4" x14ac:dyDescent="0.25">
      <c r="A40" s="439" t="s">
        <v>234</v>
      </c>
      <c r="B40" s="454" t="s">
        <v>609</v>
      </c>
      <c r="C40" s="114"/>
      <c r="D40" s="107" t="s">
        <v>106</v>
      </c>
      <c r="E40" s="129">
        <v>1</v>
      </c>
      <c r="F40" s="108">
        <f>'BORDEREAU DES PRIX UNITAIRES'!E328</f>
        <v>3450</v>
      </c>
      <c r="G40" s="19">
        <v>0.82</v>
      </c>
      <c r="H40" s="108">
        <f>S40*G40</f>
        <v>2829</v>
      </c>
      <c r="I40" s="457"/>
      <c r="J40" s="109">
        <f>+S40*I40</f>
        <v>0</v>
      </c>
      <c r="K40" s="19">
        <v>0.18</v>
      </c>
      <c r="L40" s="108">
        <f>S40*K40</f>
        <v>621</v>
      </c>
      <c r="M40" s="457"/>
      <c r="N40" s="108">
        <f>S40*M40</f>
        <v>0</v>
      </c>
      <c r="O40" s="457"/>
      <c r="P40" s="108">
        <f>+S40*O40</f>
        <v>0</v>
      </c>
      <c r="Q40" s="457"/>
      <c r="R40" s="108">
        <f>+S40*Q40</f>
        <v>0</v>
      </c>
      <c r="S40" s="108">
        <f>E40*F40</f>
        <v>3450</v>
      </c>
      <c r="T40" s="111" t="s">
        <v>120</v>
      </c>
      <c r="U40" s="445" t="s">
        <v>142</v>
      </c>
      <c r="V40" s="111"/>
      <c r="W40" s="111"/>
      <c r="X40" s="111"/>
      <c r="Y40" s="111" t="s">
        <v>124</v>
      </c>
      <c r="Z40" s="115">
        <v>2</v>
      </c>
      <c r="AA40" s="115">
        <v>21</v>
      </c>
    </row>
    <row r="41" spans="1:27" s="441" customFormat="1" ht="14.4" x14ac:dyDescent="0.25">
      <c r="A41" s="439" t="s">
        <v>235</v>
      </c>
      <c r="B41" s="454" t="s">
        <v>611</v>
      </c>
      <c r="C41" s="114"/>
      <c r="D41" s="107" t="s">
        <v>106</v>
      </c>
      <c r="E41" s="129">
        <v>1</v>
      </c>
      <c r="F41" s="108">
        <f>'BORDEREAU DES PRIX UNITAIRES'!F334</f>
        <v>7000</v>
      </c>
      <c r="G41" s="19">
        <v>0.82</v>
      </c>
      <c r="H41" s="108">
        <f>S41*G41</f>
        <v>5740</v>
      </c>
      <c r="I41" s="457"/>
      <c r="J41" s="109">
        <f>+S41*I41</f>
        <v>0</v>
      </c>
      <c r="K41" s="19">
        <v>0.18</v>
      </c>
      <c r="L41" s="108">
        <f>S41*K41</f>
        <v>1260</v>
      </c>
      <c r="M41" s="457"/>
      <c r="N41" s="108">
        <f>S41*M41</f>
        <v>0</v>
      </c>
      <c r="O41" s="457"/>
      <c r="P41" s="108">
        <f>+S41*O41</f>
        <v>0</v>
      </c>
      <c r="Q41" s="457"/>
      <c r="R41" s="108">
        <f>+S41*Q41</f>
        <v>0</v>
      </c>
      <c r="S41" s="108">
        <f>E41*F41</f>
        <v>7000</v>
      </c>
      <c r="T41" s="111" t="s">
        <v>120</v>
      </c>
      <c r="U41" s="445" t="s">
        <v>142</v>
      </c>
      <c r="V41" s="111"/>
      <c r="W41" s="111"/>
      <c r="X41" s="111"/>
      <c r="Y41" s="111" t="s">
        <v>124</v>
      </c>
      <c r="Z41" s="115">
        <v>2</v>
      </c>
      <c r="AA41" s="115">
        <v>21</v>
      </c>
    </row>
    <row r="42" spans="1:27" s="348" customFormat="1" ht="14.4" x14ac:dyDescent="0.25">
      <c r="A42" s="303" t="s">
        <v>94</v>
      </c>
      <c r="B42" s="303" t="s">
        <v>215</v>
      </c>
      <c r="C42" s="352"/>
      <c r="D42" s="279"/>
      <c r="E42" s="347"/>
      <c r="F42" s="341"/>
      <c r="G42" s="336"/>
      <c r="H42" s="341">
        <f>SUM(H43:H46)</f>
        <v>24750</v>
      </c>
      <c r="I42" s="284"/>
      <c r="J42" s="341">
        <f>SUM(J43:J46)</f>
        <v>0</v>
      </c>
      <c r="K42" s="336"/>
      <c r="L42" s="341">
        <f>SUM(L43:L46)</f>
        <v>0</v>
      </c>
      <c r="M42" s="284"/>
      <c r="N42" s="341">
        <f>SUM(N43:N46)</f>
        <v>0</v>
      </c>
      <c r="O42" s="284"/>
      <c r="P42" s="341">
        <f>SUM(P43:P46)</f>
        <v>0</v>
      </c>
      <c r="Q42" s="284"/>
      <c r="R42" s="341">
        <f>SUM(R43:R46)</f>
        <v>0</v>
      </c>
      <c r="S42" s="341">
        <f>SUM(S43:S46)</f>
        <v>24750</v>
      </c>
      <c r="T42" s="350"/>
      <c r="U42" s="351"/>
      <c r="V42" s="350"/>
      <c r="W42" s="350"/>
      <c r="X42" s="350"/>
      <c r="Y42" s="350"/>
      <c r="Z42" s="280"/>
      <c r="AA42" s="281"/>
    </row>
    <row r="43" spans="1:27" s="441" customFormat="1" ht="30" customHeight="1" x14ac:dyDescent="0.25">
      <c r="A43" s="439" t="s">
        <v>236</v>
      </c>
      <c r="B43" s="454" t="s">
        <v>616</v>
      </c>
      <c r="C43" s="462"/>
      <c r="D43" s="17" t="s">
        <v>613</v>
      </c>
      <c r="E43" s="330">
        <v>1</v>
      </c>
      <c r="F43" s="25">
        <f>'BORDEREAU DES PRIX UNITAIRES'!F357</f>
        <v>6150</v>
      </c>
      <c r="G43" s="19">
        <v>1</v>
      </c>
      <c r="H43" s="25">
        <f>S43*G43</f>
        <v>6150</v>
      </c>
      <c r="I43" s="26"/>
      <c r="J43" s="18">
        <f>+S43*I43</f>
        <v>0</v>
      </c>
      <c r="K43" s="19"/>
      <c r="L43" s="25">
        <f>S43*K43</f>
        <v>0</v>
      </c>
      <c r="M43" s="26"/>
      <c r="N43" s="25">
        <f>S43*M43</f>
        <v>0</v>
      </c>
      <c r="O43" s="26"/>
      <c r="P43" s="25">
        <f>+S43*O43</f>
        <v>0</v>
      </c>
      <c r="Q43" s="26"/>
      <c r="R43" s="25">
        <f>+S43*Q43</f>
        <v>0</v>
      </c>
      <c r="S43" s="25">
        <f>E43*F43</f>
        <v>6150</v>
      </c>
      <c r="T43" s="22" t="s">
        <v>127</v>
      </c>
      <c r="U43" s="452" t="s">
        <v>128</v>
      </c>
      <c r="V43" s="22" t="s">
        <v>124</v>
      </c>
      <c r="W43" s="22" t="s">
        <v>124</v>
      </c>
      <c r="X43" s="22"/>
      <c r="Y43" s="22"/>
      <c r="Z43" s="442">
        <v>2</v>
      </c>
      <c r="AA43" s="20">
        <v>21</v>
      </c>
    </row>
    <row r="44" spans="1:27" s="441" customFormat="1" ht="37.200000000000003" customHeight="1" x14ac:dyDescent="0.25">
      <c r="A44" s="439" t="s">
        <v>237</v>
      </c>
      <c r="B44" s="454" t="s">
        <v>574</v>
      </c>
      <c r="C44" s="462"/>
      <c r="D44" s="17" t="s">
        <v>575</v>
      </c>
      <c r="E44" s="330">
        <v>3</v>
      </c>
      <c r="F44" s="25">
        <f>'BORDEREAU DES PRIX UNITAIRES'!F362</f>
        <v>2850</v>
      </c>
      <c r="G44" s="19">
        <v>1</v>
      </c>
      <c r="H44" s="25">
        <f>S44*G44</f>
        <v>8550</v>
      </c>
      <c r="I44" s="26"/>
      <c r="J44" s="18">
        <f>+S44*I44</f>
        <v>0</v>
      </c>
      <c r="K44" s="19"/>
      <c r="L44" s="25">
        <f>S44*K44</f>
        <v>0</v>
      </c>
      <c r="M44" s="26"/>
      <c r="N44" s="25">
        <f>S44*M44</f>
        <v>0</v>
      </c>
      <c r="O44" s="26"/>
      <c r="P44" s="25">
        <f>+S44*O44</f>
        <v>0</v>
      </c>
      <c r="Q44" s="26"/>
      <c r="R44" s="25">
        <f>+S44*Q44</f>
        <v>0</v>
      </c>
      <c r="S44" s="25">
        <f>E44*F44</f>
        <v>8550</v>
      </c>
      <c r="T44" s="22" t="s">
        <v>127</v>
      </c>
      <c r="U44" s="452" t="s">
        <v>128</v>
      </c>
      <c r="V44" s="22" t="s">
        <v>124</v>
      </c>
      <c r="W44" s="22" t="s">
        <v>124</v>
      </c>
      <c r="X44" s="22"/>
      <c r="Y44" s="22"/>
      <c r="Z44" s="442">
        <v>2</v>
      </c>
      <c r="AA44" s="20">
        <v>21</v>
      </c>
    </row>
    <row r="45" spans="1:27" s="441" customFormat="1" ht="28.8" x14ac:dyDescent="0.25">
      <c r="A45" s="439" t="s">
        <v>604</v>
      </c>
      <c r="B45" s="454" t="s">
        <v>579</v>
      </c>
      <c r="C45" s="462"/>
      <c r="D45" s="17" t="s">
        <v>106</v>
      </c>
      <c r="E45" s="330">
        <v>1</v>
      </c>
      <c r="F45" s="25">
        <f>'BORDEREAU DES PRIX UNITAIRES'!F367</f>
        <v>5550</v>
      </c>
      <c r="G45" s="19">
        <v>1</v>
      </c>
      <c r="H45" s="25">
        <f>S45*G45</f>
        <v>5550</v>
      </c>
      <c r="I45" s="26"/>
      <c r="J45" s="18"/>
      <c r="K45" s="19"/>
      <c r="L45" s="25"/>
      <c r="M45" s="26"/>
      <c r="N45" s="25"/>
      <c r="O45" s="26"/>
      <c r="P45" s="25"/>
      <c r="Q45" s="26"/>
      <c r="R45" s="25"/>
      <c r="S45" s="25">
        <f>E45*F45</f>
        <v>5550</v>
      </c>
      <c r="T45" s="22" t="s">
        <v>127</v>
      </c>
      <c r="U45" s="452" t="s">
        <v>123</v>
      </c>
      <c r="V45" s="22"/>
      <c r="W45" s="22"/>
      <c r="X45" s="22" t="s">
        <v>124</v>
      </c>
      <c r="Y45" s="22" t="s">
        <v>124</v>
      </c>
      <c r="Z45" s="442">
        <v>2</v>
      </c>
      <c r="AA45" s="20">
        <v>21</v>
      </c>
    </row>
    <row r="46" spans="1:27" s="441" customFormat="1" ht="28.8" x14ac:dyDescent="0.25">
      <c r="A46" s="439" t="s">
        <v>612</v>
      </c>
      <c r="B46" s="454" t="s">
        <v>590</v>
      </c>
      <c r="C46" s="462"/>
      <c r="D46" s="17" t="s">
        <v>589</v>
      </c>
      <c r="E46" s="330">
        <v>1</v>
      </c>
      <c r="F46" s="25">
        <f>'BORDEREAU DES PRIX UNITAIRES'!F369</f>
        <v>4500</v>
      </c>
      <c r="G46" s="19">
        <v>1</v>
      </c>
      <c r="H46" s="25">
        <f>S46*G46</f>
        <v>4500</v>
      </c>
      <c r="I46" s="26"/>
      <c r="J46" s="18"/>
      <c r="K46" s="19"/>
      <c r="L46" s="25"/>
      <c r="M46" s="26"/>
      <c r="N46" s="25"/>
      <c r="O46" s="26"/>
      <c r="P46" s="25"/>
      <c r="Q46" s="26"/>
      <c r="R46" s="25"/>
      <c r="S46" s="25">
        <f>E46*F46</f>
        <v>4500</v>
      </c>
      <c r="T46" s="22" t="s">
        <v>127</v>
      </c>
      <c r="U46" s="452" t="s">
        <v>123</v>
      </c>
      <c r="V46" s="22"/>
      <c r="W46" s="22"/>
      <c r="X46" s="22"/>
      <c r="Y46" s="22" t="s">
        <v>124</v>
      </c>
      <c r="Z46" s="442">
        <v>2</v>
      </c>
      <c r="AA46" s="20">
        <v>61</v>
      </c>
    </row>
    <row r="47" spans="1:27" s="348" customFormat="1" ht="14.4" x14ac:dyDescent="0.25">
      <c r="A47" s="303" t="s">
        <v>95</v>
      </c>
      <c r="B47" s="303" t="s">
        <v>216</v>
      </c>
      <c r="C47" s="352"/>
      <c r="D47" s="279"/>
      <c r="E47" s="347"/>
      <c r="F47" s="341"/>
      <c r="G47" s="336"/>
      <c r="H47" s="341">
        <f>SUM(H48:H48)</f>
        <v>4000</v>
      </c>
      <c r="I47" s="284"/>
      <c r="J47" s="341">
        <f>SUM(J48:J48)</f>
        <v>0</v>
      </c>
      <c r="K47" s="336"/>
      <c r="L47" s="341">
        <f>SUM(L48:L48)</f>
        <v>0</v>
      </c>
      <c r="M47" s="284"/>
      <c r="N47" s="341">
        <f>SUM(N48:N48)</f>
        <v>0</v>
      </c>
      <c r="O47" s="284"/>
      <c r="P47" s="341">
        <f>SUM(P48:P48)</f>
        <v>0</v>
      </c>
      <c r="Q47" s="284"/>
      <c r="R47" s="341">
        <f>SUM(R48:R48)</f>
        <v>0</v>
      </c>
      <c r="S47" s="341">
        <f>SUM(S48:S48)</f>
        <v>4000</v>
      </c>
      <c r="T47" s="350"/>
      <c r="U47" s="351"/>
      <c r="V47" s="350"/>
      <c r="W47" s="350"/>
      <c r="X47" s="350"/>
      <c r="Y47" s="350"/>
      <c r="Z47" s="280"/>
      <c r="AA47" s="281"/>
    </row>
    <row r="48" spans="1:27" s="441" customFormat="1" ht="19.2" customHeight="1" x14ac:dyDescent="0.25">
      <c r="A48" s="439" t="s">
        <v>238</v>
      </c>
      <c r="B48" s="454" t="s">
        <v>591</v>
      </c>
      <c r="C48" s="462"/>
      <c r="D48" s="21" t="s">
        <v>107</v>
      </c>
      <c r="E48" s="330">
        <v>1</v>
      </c>
      <c r="F48" s="25">
        <v>4000</v>
      </c>
      <c r="G48" s="19">
        <v>1</v>
      </c>
      <c r="H48" s="25">
        <f>S48*G48</f>
        <v>4000</v>
      </c>
      <c r="I48" s="25"/>
      <c r="J48" s="18"/>
      <c r="K48" s="19"/>
      <c r="L48" s="25"/>
      <c r="M48" s="19"/>
      <c r="N48" s="25"/>
      <c r="O48" s="25"/>
      <c r="P48" s="25"/>
      <c r="Q48" s="19"/>
      <c r="R48" s="25"/>
      <c r="S48" s="25">
        <f>E48*F48</f>
        <v>4000</v>
      </c>
      <c r="T48" s="22" t="s">
        <v>123</v>
      </c>
      <c r="U48" s="452" t="s">
        <v>245</v>
      </c>
      <c r="V48" s="22"/>
      <c r="W48" s="22" t="s">
        <v>124</v>
      </c>
      <c r="X48" s="22"/>
      <c r="Y48" s="22" t="s">
        <v>124</v>
      </c>
      <c r="Z48" s="20">
        <v>5</v>
      </c>
      <c r="AA48" s="20">
        <v>21</v>
      </c>
    </row>
    <row r="49" spans="1:161" s="348" customFormat="1" ht="14.4" x14ac:dyDescent="0.25">
      <c r="A49" s="303" t="s">
        <v>96</v>
      </c>
      <c r="B49" s="303" t="s">
        <v>217</v>
      </c>
      <c r="C49" s="345"/>
      <c r="D49" s="340"/>
      <c r="E49" s="347"/>
      <c r="F49" s="341"/>
      <c r="G49" s="336"/>
      <c r="H49" s="341">
        <f>SUM(H50:H50)</f>
        <v>12402.5</v>
      </c>
      <c r="I49" s="341"/>
      <c r="J49" s="342">
        <f>SUM(J50:J50)</f>
        <v>0</v>
      </c>
      <c r="K49" s="336"/>
      <c r="L49" s="341">
        <f>SUM(L50:L50)</f>
        <v>0</v>
      </c>
      <c r="M49" s="336"/>
      <c r="N49" s="341">
        <f>SUM(N50:N50)</f>
        <v>0</v>
      </c>
      <c r="O49" s="341">
        <f>SUM(O50:O50)</f>
        <v>0</v>
      </c>
      <c r="P49" s="341">
        <f>SUM(P50:P50)</f>
        <v>0</v>
      </c>
      <c r="Q49" s="336"/>
      <c r="R49" s="341">
        <f>SUM(R50:R50)</f>
        <v>0</v>
      </c>
      <c r="S49" s="341">
        <f>SUM(S50:S50)</f>
        <v>12402.5</v>
      </c>
      <c r="T49" s="350"/>
      <c r="U49" s="351"/>
      <c r="V49" s="350"/>
      <c r="W49" s="350"/>
      <c r="X49" s="350"/>
      <c r="Y49" s="350"/>
      <c r="Z49" s="281"/>
      <c r="AA49" s="281"/>
    </row>
    <row r="50" spans="1:161" s="441" customFormat="1" ht="40.799999999999997" customHeight="1" x14ac:dyDescent="0.25">
      <c r="A50" s="439" t="s">
        <v>239</v>
      </c>
      <c r="B50" s="439" t="s">
        <v>582</v>
      </c>
      <c r="C50" s="451"/>
      <c r="D50" s="107" t="s">
        <v>137</v>
      </c>
      <c r="E50" s="129">
        <v>1</v>
      </c>
      <c r="F50" s="108">
        <f>'BORDEREAU DES PRIX UNITAIRES'!F385</f>
        <v>12402.5</v>
      </c>
      <c r="G50" s="133">
        <v>1</v>
      </c>
      <c r="H50" s="108">
        <f>S50*G50</f>
        <v>12402.5</v>
      </c>
      <c r="I50" s="108"/>
      <c r="J50" s="109">
        <f>+S50*I50</f>
        <v>0</v>
      </c>
      <c r="K50" s="133"/>
      <c r="L50" s="108">
        <f>S50*K50</f>
        <v>0</v>
      </c>
      <c r="M50" s="133"/>
      <c r="N50" s="108">
        <f>S50*M50</f>
        <v>0</v>
      </c>
      <c r="O50" s="108"/>
      <c r="P50" s="108">
        <f>+S50*O50</f>
        <v>0</v>
      </c>
      <c r="Q50" s="133"/>
      <c r="R50" s="108">
        <f>+S50*Q50</f>
        <v>0</v>
      </c>
      <c r="S50" s="108">
        <f>E50*F50</f>
        <v>12402.5</v>
      </c>
      <c r="T50" s="111" t="s">
        <v>120</v>
      </c>
      <c r="U50" s="445" t="s">
        <v>145</v>
      </c>
      <c r="V50" s="111"/>
      <c r="W50" s="111" t="s">
        <v>124</v>
      </c>
      <c r="X50" s="111"/>
      <c r="Y50" s="111" t="s">
        <v>124</v>
      </c>
      <c r="Z50" s="442">
        <v>2</v>
      </c>
      <c r="AA50" s="20">
        <v>21</v>
      </c>
    </row>
    <row r="51" spans="1:161" s="348" customFormat="1" ht="27" customHeight="1" x14ac:dyDescent="0.25">
      <c r="A51" s="303" t="s">
        <v>97</v>
      </c>
      <c r="B51" s="303" t="s">
        <v>482</v>
      </c>
      <c r="C51" s="345"/>
      <c r="D51" s="340"/>
      <c r="E51" s="347"/>
      <c r="F51" s="341"/>
      <c r="G51" s="336"/>
      <c r="H51" s="341">
        <f>SUM(H52:H55)</f>
        <v>35725</v>
      </c>
      <c r="I51" s="341"/>
      <c r="J51" s="341">
        <f>SUM(J52:J55)</f>
        <v>0</v>
      </c>
      <c r="K51" s="336"/>
      <c r="L51" s="341">
        <f>SUM(L52:L55)</f>
        <v>0</v>
      </c>
      <c r="M51" s="336"/>
      <c r="N51" s="341">
        <f>SUM(N52:N55)</f>
        <v>0</v>
      </c>
      <c r="O51" s="341"/>
      <c r="P51" s="341">
        <f>SUM(P52:P55)</f>
        <v>0</v>
      </c>
      <c r="Q51" s="336"/>
      <c r="R51" s="341">
        <f>SUM(R52:R55)</f>
        <v>0</v>
      </c>
      <c r="S51" s="341">
        <f>SUM(S52:S55)</f>
        <v>35725</v>
      </c>
      <c r="T51" s="350"/>
      <c r="U51" s="351"/>
      <c r="V51" s="350"/>
      <c r="W51" s="350"/>
      <c r="X51" s="350"/>
      <c r="Y51" s="350"/>
      <c r="Z51" s="281"/>
      <c r="AA51" s="281"/>
    </row>
    <row r="52" spans="1:161" s="441" customFormat="1" ht="28.2" customHeight="1" x14ac:dyDescent="0.25">
      <c r="A52" s="439" t="s">
        <v>240</v>
      </c>
      <c r="B52" s="454" t="s">
        <v>592</v>
      </c>
      <c r="C52" s="455"/>
      <c r="D52" s="21" t="s">
        <v>106</v>
      </c>
      <c r="E52" s="330">
        <v>1</v>
      </c>
      <c r="F52" s="25">
        <v>8700</v>
      </c>
      <c r="G52" s="19">
        <v>1</v>
      </c>
      <c r="H52" s="25">
        <f>S52*G52</f>
        <v>8700</v>
      </c>
      <c r="I52" s="25"/>
      <c r="J52" s="18">
        <f>+S52*I52</f>
        <v>0</v>
      </c>
      <c r="K52" s="19"/>
      <c r="L52" s="25">
        <f>S52*K52</f>
        <v>0</v>
      </c>
      <c r="M52" s="19"/>
      <c r="N52" s="25">
        <f>S52*M52</f>
        <v>0</v>
      </c>
      <c r="O52" s="25"/>
      <c r="P52" s="25">
        <f>+S52*O52</f>
        <v>0</v>
      </c>
      <c r="Q52" s="19"/>
      <c r="R52" s="25">
        <f>+S52*Q52</f>
        <v>0</v>
      </c>
      <c r="S52" s="25">
        <f>E52*F52</f>
        <v>8700</v>
      </c>
      <c r="T52" s="22" t="s">
        <v>125</v>
      </c>
      <c r="U52" s="452" t="s">
        <v>126</v>
      </c>
      <c r="V52" s="22"/>
      <c r="W52" s="22" t="s">
        <v>114</v>
      </c>
      <c r="X52" s="22" t="s">
        <v>114</v>
      </c>
      <c r="Y52" s="22" t="s">
        <v>114</v>
      </c>
      <c r="Z52" s="20">
        <v>5</v>
      </c>
      <c r="AA52" s="20">
        <v>21</v>
      </c>
    </row>
    <row r="53" spans="1:161" s="441" customFormat="1" ht="28.2" customHeight="1" x14ac:dyDescent="0.25">
      <c r="A53" s="439" t="s">
        <v>258</v>
      </c>
      <c r="B53" s="454" t="s">
        <v>593</v>
      </c>
      <c r="C53" s="455"/>
      <c r="D53" s="21" t="s">
        <v>107</v>
      </c>
      <c r="E53" s="330">
        <v>1</v>
      </c>
      <c r="F53" s="25">
        <v>6000</v>
      </c>
      <c r="G53" s="19">
        <v>1</v>
      </c>
      <c r="H53" s="25">
        <f>S53*G53</f>
        <v>6000</v>
      </c>
      <c r="I53" s="25"/>
      <c r="J53" s="18">
        <f>+S53*I53</f>
        <v>0</v>
      </c>
      <c r="K53" s="19"/>
      <c r="L53" s="25">
        <f>S53*K53</f>
        <v>0</v>
      </c>
      <c r="M53" s="19"/>
      <c r="N53" s="25">
        <f>S53*M53</f>
        <v>0</v>
      </c>
      <c r="O53" s="25"/>
      <c r="P53" s="25">
        <f>+S53*O53</f>
        <v>0</v>
      </c>
      <c r="Q53" s="19"/>
      <c r="R53" s="25">
        <f>+S53*Q53</f>
        <v>0</v>
      </c>
      <c r="S53" s="25">
        <f>E53*F53</f>
        <v>6000</v>
      </c>
      <c r="T53" s="22" t="s">
        <v>125</v>
      </c>
      <c r="U53" s="452" t="s">
        <v>126</v>
      </c>
      <c r="V53" s="22"/>
      <c r="W53" s="22" t="s">
        <v>114</v>
      </c>
      <c r="X53" s="22" t="s">
        <v>114</v>
      </c>
      <c r="Y53" s="22" t="s">
        <v>114</v>
      </c>
      <c r="Z53" s="20">
        <v>5</v>
      </c>
      <c r="AA53" s="20">
        <v>21</v>
      </c>
    </row>
    <row r="54" spans="1:161" s="441" customFormat="1" ht="30" customHeight="1" x14ac:dyDescent="0.25">
      <c r="A54" s="439" t="s">
        <v>259</v>
      </c>
      <c r="B54" s="462" t="s">
        <v>629</v>
      </c>
      <c r="C54" s="455"/>
      <c r="D54" s="21" t="s">
        <v>106</v>
      </c>
      <c r="E54" s="330">
        <v>1</v>
      </c>
      <c r="F54" s="25">
        <f>'BORDEREAU DES PRIX UNITAIRES'!F402</f>
        <v>3025</v>
      </c>
      <c r="G54" s="19">
        <v>1</v>
      </c>
      <c r="H54" s="463">
        <f>S54*G54</f>
        <v>3025</v>
      </c>
      <c r="I54" s="25"/>
      <c r="J54" s="18">
        <f>+S54*I54</f>
        <v>0</v>
      </c>
      <c r="K54" s="19"/>
      <c r="L54" s="25">
        <f>S54*K54</f>
        <v>0</v>
      </c>
      <c r="M54" s="19"/>
      <c r="N54" s="25">
        <f>S54*M54</f>
        <v>0</v>
      </c>
      <c r="O54" s="25"/>
      <c r="P54" s="25">
        <f>+S54*O54</f>
        <v>0</v>
      </c>
      <c r="Q54" s="19"/>
      <c r="R54" s="25"/>
      <c r="S54" s="25">
        <f>E54*F54</f>
        <v>3025</v>
      </c>
      <c r="T54" s="22" t="s">
        <v>125</v>
      </c>
      <c r="U54" s="452" t="s">
        <v>351</v>
      </c>
      <c r="V54" s="22"/>
      <c r="W54" s="22" t="s">
        <v>124</v>
      </c>
      <c r="X54" s="22"/>
      <c r="Y54" s="464" t="s">
        <v>124</v>
      </c>
      <c r="Z54" s="20">
        <v>2</v>
      </c>
      <c r="AA54" s="465">
        <v>21</v>
      </c>
    </row>
    <row r="55" spans="1:161" s="441" customFormat="1" ht="28.8" x14ac:dyDescent="0.25">
      <c r="A55" s="439" t="s">
        <v>260</v>
      </c>
      <c r="B55" s="462" t="s">
        <v>485</v>
      </c>
      <c r="C55" s="455"/>
      <c r="D55" s="21" t="s">
        <v>110</v>
      </c>
      <c r="E55" s="330">
        <v>9</v>
      </c>
      <c r="F55" s="25">
        <v>2000</v>
      </c>
      <c r="G55" s="19">
        <v>1</v>
      </c>
      <c r="H55" s="463">
        <f>S55*G55</f>
        <v>18000</v>
      </c>
      <c r="I55" s="25"/>
      <c r="J55" s="18">
        <f>+S55*I55</f>
        <v>0</v>
      </c>
      <c r="K55" s="19"/>
      <c r="L55" s="25">
        <f>S55*K55</f>
        <v>0</v>
      </c>
      <c r="M55" s="19"/>
      <c r="N55" s="25">
        <f>S55*M55</f>
        <v>0</v>
      </c>
      <c r="O55" s="25"/>
      <c r="P55" s="25">
        <f>+S55*O55</f>
        <v>0</v>
      </c>
      <c r="Q55" s="19"/>
      <c r="R55" s="25"/>
      <c r="S55" s="25">
        <f>E55*F55</f>
        <v>18000</v>
      </c>
      <c r="T55" s="22" t="s">
        <v>125</v>
      </c>
      <c r="U55" s="452" t="s">
        <v>126</v>
      </c>
      <c r="V55" s="22" t="s">
        <v>124</v>
      </c>
      <c r="W55" s="22" t="s">
        <v>124</v>
      </c>
      <c r="X55" s="22" t="s">
        <v>124</v>
      </c>
      <c r="Y55" s="464" t="s">
        <v>124</v>
      </c>
      <c r="Z55" s="20">
        <v>2</v>
      </c>
      <c r="AA55" s="465">
        <v>21</v>
      </c>
    </row>
    <row r="56" spans="1:161" s="348" customFormat="1" ht="14.4" x14ac:dyDescent="0.25">
      <c r="A56" s="396" t="s">
        <v>98</v>
      </c>
      <c r="B56" s="398" t="s">
        <v>219</v>
      </c>
      <c r="C56" s="399"/>
      <c r="D56" s="340"/>
      <c r="E56" s="340"/>
      <c r="F56" s="341"/>
      <c r="G56" s="284"/>
      <c r="H56" s="284">
        <f>SUM(H57)</f>
        <v>16400</v>
      </c>
      <c r="I56" s="284"/>
      <c r="J56" s="284">
        <f t="shared" ref="J56:R56" si="7">SUM(J57)</f>
        <v>0</v>
      </c>
      <c r="K56" s="284"/>
      <c r="L56" s="284">
        <f>SUM(L57)</f>
        <v>3600</v>
      </c>
      <c r="M56" s="284"/>
      <c r="N56" s="284">
        <f t="shared" si="7"/>
        <v>0</v>
      </c>
      <c r="O56" s="284"/>
      <c r="P56" s="284">
        <f t="shared" si="7"/>
        <v>0</v>
      </c>
      <c r="Q56" s="284"/>
      <c r="R56" s="284">
        <f t="shared" si="7"/>
        <v>0</v>
      </c>
      <c r="S56" s="284">
        <f>SUM(S57)</f>
        <v>20000</v>
      </c>
      <c r="T56" s="340"/>
      <c r="U56" s="340"/>
      <c r="V56" s="280"/>
      <c r="W56" s="280"/>
      <c r="X56" s="280"/>
      <c r="Y56" s="280"/>
      <c r="Z56" s="280"/>
      <c r="AA56" s="280"/>
    </row>
    <row r="57" spans="1:161" s="441" customFormat="1" ht="43.8" thickBot="1" x14ac:dyDescent="0.3">
      <c r="A57" s="446" t="s">
        <v>241</v>
      </c>
      <c r="B57" s="116" t="s">
        <v>581</v>
      </c>
      <c r="C57" s="122"/>
      <c r="D57" s="107" t="s">
        <v>107</v>
      </c>
      <c r="E57" s="107">
        <v>1</v>
      </c>
      <c r="F57" s="108">
        <v>20000</v>
      </c>
      <c r="G57" s="19">
        <v>0.82</v>
      </c>
      <c r="H57" s="457">
        <f>S57*G57</f>
        <v>16400</v>
      </c>
      <c r="I57" s="457"/>
      <c r="J57" s="457"/>
      <c r="K57" s="19">
        <v>0.18</v>
      </c>
      <c r="L57" s="457">
        <f>S57*K57</f>
        <v>3600</v>
      </c>
      <c r="M57" s="457"/>
      <c r="N57" s="457"/>
      <c r="O57" s="457"/>
      <c r="P57" s="457"/>
      <c r="Q57" s="457"/>
      <c r="R57" s="457"/>
      <c r="S57" s="457">
        <f>E57*F57</f>
        <v>20000</v>
      </c>
      <c r="T57" s="107" t="s">
        <v>140</v>
      </c>
      <c r="U57" s="107" t="s">
        <v>144</v>
      </c>
      <c r="V57" s="115"/>
      <c r="W57" s="115" t="s">
        <v>124</v>
      </c>
      <c r="X57" s="115"/>
      <c r="Y57" s="115"/>
      <c r="Z57" s="115">
        <v>4</v>
      </c>
      <c r="AA57" s="115">
        <v>21</v>
      </c>
    </row>
    <row r="58" spans="1:161" ht="15" thickBot="1" x14ac:dyDescent="0.3">
      <c r="A58" s="397"/>
      <c r="B58" s="400" t="s">
        <v>143</v>
      </c>
      <c r="C58" s="401"/>
      <c r="D58" s="402"/>
      <c r="E58" s="402"/>
      <c r="F58" s="403"/>
      <c r="G58" s="404"/>
      <c r="H58" s="405">
        <f>H6+H28</f>
        <v>513489.75</v>
      </c>
      <c r="I58" s="405"/>
      <c r="J58" s="405">
        <f>J6+J28</f>
        <v>0</v>
      </c>
      <c r="K58" s="405"/>
      <c r="L58" s="405">
        <f>L6+L28</f>
        <v>13316.67</v>
      </c>
      <c r="M58" s="405"/>
      <c r="N58" s="405">
        <f>N6+N28</f>
        <v>6000</v>
      </c>
      <c r="O58" s="405"/>
      <c r="P58" s="405">
        <f>P6+P28</f>
        <v>0</v>
      </c>
      <c r="Q58" s="405"/>
      <c r="R58" s="405">
        <f>R6+R28</f>
        <v>0</v>
      </c>
      <c r="S58" s="436">
        <f>S6+S28</f>
        <v>532806.42000000004</v>
      </c>
      <c r="T58" s="406"/>
      <c r="U58" s="406"/>
      <c r="V58" s="406"/>
      <c r="W58" s="406"/>
      <c r="X58" s="406"/>
      <c r="Y58" s="406"/>
      <c r="Z58" s="407"/>
      <c r="AA58" s="407"/>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row>
    <row r="59" spans="1:161" ht="14.4" x14ac:dyDescent="0.3">
      <c r="A59" s="92"/>
      <c r="B59" s="93"/>
      <c r="C59" s="93"/>
      <c r="D59" s="94"/>
      <c r="E59" s="95"/>
      <c r="F59" s="95"/>
      <c r="G59" s="95"/>
      <c r="H59" s="96"/>
      <c r="I59" s="96"/>
      <c r="J59" s="97"/>
      <c r="K59" s="97"/>
      <c r="L59" s="97"/>
      <c r="M59" s="97"/>
      <c r="N59" s="97"/>
      <c r="O59" s="97"/>
      <c r="P59" s="97"/>
      <c r="Q59" s="97"/>
      <c r="R59" s="97"/>
      <c r="S59" s="96"/>
      <c r="T59" s="98"/>
      <c r="U59" s="99"/>
      <c r="V59" s="98"/>
      <c r="W59" s="100"/>
      <c r="X59" s="98"/>
      <c r="Y59" s="98"/>
      <c r="Z59" s="101"/>
      <c r="AA59" s="102"/>
    </row>
    <row r="60" spans="1:161" ht="14.4" x14ac:dyDescent="0.3">
      <c r="A60" s="92"/>
      <c r="B60" s="93"/>
      <c r="C60" s="93"/>
      <c r="D60" s="94"/>
      <c r="E60" s="95"/>
      <c r="F60" s="95"/>
      <c r="G60" s="95"/>
      <c r="H60" s="96"/>
      <c r="I60" s="96"/>
      <c r="J60" s="97"/>
      <c r="K60" s="97"/>
      <c r="L60" s="97"/>
      <c r="M60" s="97"/>
      <c r="N60" s="97"/>
      <c r="O60" s="97"/>
      <c r="P60" s="97"/>
      <c r="Q60" s="97"/>
      <c r="R60" s="97"/>
      <c r="S60" s="96"/>
      <c r="T60" s="98"/>
      <c r="U60" s="99"/>
      <c r="V60" s="98"/>
      <c r="W60" s="100"/>
      <c r="X60" s="98"/>
      <c r="Y60" s="98"/>
      <c r="Z60" s="101"/>
      <c r="AA60" s="102"/>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row>
  </sheetData>
  <mergeCells count="11">
    <mergeCell ref="A3:A4"/>
    <mergeCell ref="B3:B4"/>
    <mergeCell ref="Z3:Z4"/>
    <mergeCell ref="AA3:AA4"/>
    <mergeCell ref="B1:Y1"/>
    <mergeCell ref="G3:R3"/>
    <mergeCell ref="S3:S4"/>
    <mergeCell ref="T3:T4"/>
    <mergeCell ref="U3:U4"/>
    <mergeCell ref="V3:Y3"/>
    <mergeCell ref="C3:F3"/>
  </mergeCells>
  <pageMargins left="0.39370078740157499" right="0.23622047244094499" top="0.74803149606299202" bottom="0.74803149606299202" header="0.31496062992126" footer="0.31496062992126"/>
  <pageSetup paperSize="9" scale="38" fitToHeight="0" orientation="landscape" r:id="rId1"/>
  <headerFooter>
    <oddFooter>&amp;C&amp;P/&amp;N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B402"/>
  <sheetViews>
    <sheetView topLeftCell="A374" zoomScale="170" zoomScaleNormal="170" workbookViewId="0">
      <selection activeCell="B47" sqref="B47"/>
    </sheetView>
  </sheetViews>
  <sheetFormatPr baseColWidth="10" defaultRowHeight="14.4" x14ac:dyDescent="0.3"/>
  <cols>
    <col min="2" max="2" width="35.88671875" customWidth="1"/>
    <col min="3" max="3" width="14.88671875" customWidth="1"/>
    <col min="4" max="4" width="20.5546875" customWidth="1"/>
    <col min="5" max="5" width="14.5546875" customWidth="1"/>
    <col min="6" max="6" width="13.88671875" customWidth="1"/>
    <col min="7" max="7" width="12" customWidth="1"/>
    <col min="8" max="8" width="22.5546875" customWidth="1"/>
    <col min="9" max="9" width="26.44140625" customWidth="1"/>
    <col min="10" max="10" width="12.44140625" customWidth="1"/>
    <col min="12" max="12" width="12.5546875" customWidth="1"/>
    <col min="13" max="13" width="12.109375" customWidth="1"/>
    <col min="14" max="14" width="12.44140625" customWidth="1"/>
    <col min="15" max="15" width="12.109375" customWidth="1"/>
  </cols>
  <sheetData>
    <row r="1" spans="2:28" x14ac:dyDescent="0.3">
      <c r="B1" s="418" t="s">
        <v>165</v>
      </c>
    </row>
    <row r="2" spans="2:28" ht="71.400000000000006" customHeight="1" x14ac:dyDescent="0.3">
      <c r="B2" s="762" t="s">
        <v>424</v>
      </c>
      <c r="C2" s="763"/>
      <c r="D2" s="763"/>
      <c r="E2" s="763"/>
      <c r="F2" s="498"/>
    </row>
    <row r="3" spans="2:28" ht="15" thickBot="1" x14ac:dyDescent="0.35">
      <c r="B3" s="408" t="s">
        <v>403</v>
      </c>
      <c r="C3" s="408"/>
      <c r="D3" s="408"/>
      <c r="E3" s="408"/>
      <c r="F3" s="408"/>
    </row>
    <row r="4" spans="2:28" ht="15" thickBot="1" x14ac:dyDescent="0.35">
      <c r="B4" s="409" t="s">
        <v>247</v>
      </c>
      <c r="C4" s="410" t="s">
        <v>248</v>
      </c>
      <c r="D4" s="410" t="s">
        <v>249</v>
      </c>
      <c r="E4" s="410" t="s">
        <v>250</v>
      </c>
    </row>
    <row r="5" spans="2:28" ht="15" thickBot="1" x14ac:dyDescent="0.35">
      <c r="B5" s="411" t="s">
        <v>285</v>
      </c>
      <c r="C5" s="467">
        <v>2.5</v>
      </c>
      <c r="D5" s="413">
        <v>20</v>
      </c>
      <c r="E5" s="412">
        <f>+D5*C5</f>
        <v>50</v>
      </c>
    </row>
    <row r="6" spans="2:28" ht="15" thickBot="1" x14ac:dyDescent="0.35">
      <c r="B6" s="411" t="s">
        <v>404</v>
      </c>
      <c r="C6" s="413">
        <v>6</v>
      </c>
      <c r="D6" s="419">
        <v>20</v>
      </c>
      <c r="E6" s="412">
        <f>+D6*C6</f>
        <v>120</v>
      </c>
    </row>
    <row r="7" spans="2:28" ht="15" thickBot="1" x14ac:dyDescent="0.35">
      <c r="B7" s="415" t="s">
        <v>30</v>
      </c>
      <c r="C7" s="416"/>
      <c r="D7" s="416"/>
      <c r="E7" s="469">
        <f>SUM(E5:E6)</f>
        <v>170</v>
      </c>
    </row>
    <row r="9" spans="2:28" ht="46.2" customHeight="1" thickBot="1" x14ac:dyDescent="0.35">
      <c r="B9" s="750" t="s">
        <v>514</v>
      </c>
      <c r="C9" s="750"/>
      <c r="D9" s="750"/>
      <c r="E9" s="750"/>
      <c r="F9" s="482"/>
    </row>
    <row r="10" spans="2:28" ht="19.350000000000001" customHeight="1" thickBot="1" x14ac:dyDescent="0.35">
      <c r="B10" s="409" t="s">
        <v>247</v>
      </c>
      <c r="C10" s="410" t="s">
        <v>248</v>
      </c>
      <c r="D10" s="410" t="s">
        <v>252</v>
      </c>
      <c r="E10" s="410" t="s">
        <v>253</v>
      </c>
      <c r="F10" s="410" t="s">
        <v>250</v>
      </c>
      <c r="G10" s="485"/>
      <c r="I10" s="478"/>
      <c r="J10" s="478"/>
      <c r="K10" s="478"/>
      <c r="L10" s="478"/>
      <c r="M10" s="478"/>
      <c r="N10" s="485"/>
      <c r="O10" s="485"/>
      <c r="P10" s="485"/>
      <c r="Q10" s="485"/>
      <c r="R10" s="485"/>
      <c r="S10" s="485"/>
      <c r="T10" s="485"/>
      <c r="U10" s="485"/>
      <c r="V10" s="485"/>
      <c r="W10" s="485"/>
      <c r="X10" s="485"/>
      <c r="Y10" s="485"/>
      <c r="Z10" s="485"/>
      <c r="AA10" s="485"/>
      <c r="AB10" s="485"/>
    </row>
    <row r="11" spans="2:28" ht="28.8" customHeight="1" thickBot="1" x14ac:dyDescent="0.35">
      <c r="B11" s="414" t="s">
        <v>432</v>
      </c>
      <c r="C11" s="412">
        <v>150</v>
      </c>
      <c r="D11" s="472">
        <v>2</v>
      </c>
      <c r="E11" s="413">
        <v>15</v>
      </c>
      <c r="F11" s="412">
        <f>E11*C11*D11</f>
        <v>4500</v>
      </c>
      <c r="G11" s="485"/>
      <c r="I11" s="505"/>
      <c r="J11" s="512"/>
      <c r="K11" s="535"/>
      <c r="L11" s="536"/>
      <c r="M11" s="512"/>
      <c r="N11" s="485"/>
      <c r="O11" s="485"/>
      <c r="P11" s="485"/>
      <c r="Q11" s="485"/>
      <c r="R11" s="485"/>
      <c r="S11" s="485"/>
      <c r="T11" s="485"/>
      <c r="U11" s="485"/>
      <c r="V11" s="485"/>
      <c r="W11" s="485"/>
      <c r="X11" s="485"/>
      <c r="Y11" s="485"/>
      <c r="Z11" s="485"/>
      <c r="AA11" s="485"/>
      <c r="AB11" s="485"/>
    </row>
    <row r="12" spans="2:28" ht="28.8" customHeight="1" x14ac:dyDescent="0.3">
      <c r="B12" s="537"/>
      <c r="C12" s="512"/>
      <c r="D12" s="535"/>
      <c r="E12" s="536"/>
      <c r="F12" s="512"/>
      <c r="G12" s="485"/>
      <c r="I12" s="505"/>
      <c r="J12" s="512"/>
      <c r="K12" s="535"/>
      <c r="L12" s="536"/>
      <c r="M12" s="512"/>
      <c r="N12" s="485"/>
      <c r="O12" s="485"/>
      <c r="P12" s="485"/>
      <c r="Q12" s="485"/>
      <c r="R12" s="485"/>
      <c r="S12" s="485"/>
      <c r="T12" s="485"/>
      <c r="U12" s="485"/>
      <c r="V12" s="485"/>
      <c r="W12" s="485"/>
      <c r="X12" s="485"/>
      <c r="Y12" s="485"/>
      <c r="Z12" s="485"/>
      <c r="AA12" s="485"/>
      <c r="AB12" s="485"/>
    </row>
    <row r="13" spans="2:28" ht="19.350000000000001" customHeight="1" x14ac:dyDescent="0.3">
      <c r="B13" s="478" t="s">
        <v>167</v>
      </c>
      <c r="C13" s="478"/>
      <c r="D13" s="478"/>
      <c r="E13" s="478"/>
      <c r="F13" s="482"/>
    </row>
    <row r="14" spans="2:28" ht="25.65" customHeight="1" x14ac:dyDescent="0.3">
      <c r="B14" s="764" t="s">
        <v>158</v>
      </c>
      <c r="C14" s="765"/>
      <c r="D14" s="765"/>
      <c r="E14" s="765"/>
      <c r="F14" s="482"/>
    </row>
    <row r="15" spans="2:28" ht="19.350000000000001" customHeight="1" x14ac:dyDescent="0.3">
      <c r="B15" s="478" t="s">
        <v>262</v>
      </c>
      <c r="C15" s="478"/>
      <c r="D15" s="478"/>
      <c r="E15" s="478"/>
      <c r="F15" s="482"/>
    </row>
    <row r="16" spans="2:28" ht="30.6" customHeight="1" x14ac:dyDescent="0.3">
      <c r="B16" s="480" t="s">
        <v>247</v>
      </c>
      <c r="C16" s="502" t="s">
        <v>348</v>
      </c>
      <c r="D16" s="478"/>
      <c r="E16" s="478"/>
      <c r="F16" s="482"/>
      <c r="G16" s="485"/>
    </row>
    <row r="17" spans="2:7" ht="19.350000000000001" customHeight="1" x14ac:dyDescent="0.3">
      <c r="B17" s="480" t="s">
        <v>324</v>
      </c>
      <c r="C17" s="480">
        <v>500</v>
      </c>
      <c r="D17" s="500"/>
      <c r="E17" s="478"/>
      <c r="F17" s="482"/>
      <c r="G17" s="485"/>
    </row>
    <row r="18" spans="2:7" ht="19.350000000000001" customHeight="1" x14ac:dyDescent="0.3">
      <c r="B18" s="480" t="s">
        <v>325</v>
      </c>
      <c r="C18" s="480">
        <v>827.4</v>
      </c>
      <c r="D18" s="478"/>
      <c r="E18" s="478"/>
      <c r="F18" s="482"/>
      <c r="G18" s="485"/>
    </row>
    <row r="19" spans="2:7" ht="19.350000000000001" customHeight="1" x14ac:dyDescent="0.3">
      <c r="B19" s="480" t="s">
        <v>326</v>
      </c>
      <c r="C19" s="480">
        <v>7352.2</v>
      </c>
      <c r="D19" s="478"/>
      <c r="E19" s="478"/>
      <c r="F19" s="482"/>
      <c r="G19" s="485"/>
    </row>
    <row r="20" spans="2:7" ht="19.350000000000001" customHeight="1" x14ac:dyDescent="0.3">
      <c r="B20" s="480" t="s">
        <v>327</v>
      </c>
      <c r="C20" s="480">
        <v>1141.7</v>
      </c>
      <c r="D20" s="478"/>
      <c r="E20" s="478"/>
      <c r="F20" s="482"/>
      <c r="G20" s="485"/>
    </row>
    <row r="21" spans="2:7" ht="19.350000000000001" customHeight="1" x14ac:dyDescent="0.3">
      <c r="B21" s="480" t="s">
        <v>328</v>
      </c>
      <c r="C21" s="480">
        <v>990</v>
      </c>
      <c r="D21" s="478"/>
      <c r="E21" s="478"/>
      <c r="F21" s="482"/>
      <c r="G21" s="485"/>
    </row>
    <row r="22" spans="2:7" ht="19.350000000000001" customHeight="1" x14ac:dyDescent="0.3">
      <c r="B22" s="480" t="s">
        <v>329</v>
      </c>
      <c r="C22" s="480">
        <v>6894.6</v>
      </c>
      <c r="D22" s="478"/>
      <c r="E22" s="478"/>
      <c r="F22" s="482"/>
      <c r="G22" s="485"/>
    </row>
    <row r="23" spans="2:7" ht="19.350000000000001" customHeight="1" x14ac:dyDescent="0.3">
      <c r="B23" s="480" t="s">
        <v>330</v>
      </c>
      <c r="C23" s="480">
        <v>2531</v>
      </c>
      <c r="D23" s="478"/>
      <c r="E23" s="478"/>
      <c r="F23" s="482"/>
      <c r="G23" s="485"/>
    </row>
    <row r="24" spans="2:7" ht="19.350000000000001" customHeight="1" x14ac:dyDescent="0.3">
      <c r="B24" s="480" t="s">
        <v>331</v>
      </c>
      <c r="C24" s="480">
        <v>475</v>
      </c>
      <c r="D24" s="478"/>
      <c r="E24" s="478"/>
      <c r="F24" s="482"/>
      <c r="G24" s="485"/>
    </row>
    <row r="25" spans="2:7" ht="19.350000000000001" customHeight="1" x14ac:dyDescent="0.3">
      <c r="B25" s="480" t="s">
        <v>332</v>
      </c>
      <c r="C25" s="480">
        <v>1265.2</v>
      </c>
      <c r="D25" s="478"/>
      <c r="E25" s="478"/>
      <c r="F25" s="482"/>
      <c r="G25" s="485"/>
    </row>
    <row r="26" spans="2:7" ht="19.350000000000001" customHeight="1" x14ac:dyDescent="0.3">
      <c r="B26" s="480" t="s">
        <v>333</v>
      </c>
      <c r="C26" s="480">
        <v>1522.9</v>
      </c>
      <c r="D26" s="478"/>
      <c r="E26" s="478"/>
      <c r="F26" s="482"/>
      <c r="G26" s="485"/>
    </row>
    <row r="27" spans="2:7" ht="19.350000000000001" customHeight="1" x14ac:dyDescent="0.3">
      <c r="B27" s="480" t="s">
        <v>17</v>
      </c>
      <c r="C27" s="480">
        <f>SUM(C17:C26)</f>
        <v>23500.000000000004</v>
      </c>
      <c r="D27" s="478"/>
      <c r="E27" s="478"/>
      <c r="F27" s="482"/>
      <c r="G27" s="485"/>
    </row>
    <row r="28" spans="2:7" ht="19.350000000000001" customHeight="1" x14ac:dyDescent="0.3">
      <c r="B28" s="505" t="s">
        <v>352</v>
      </c>
      <c r="C28" s="478"/>
      <c r="D28" s="478"/>
      <c r="E28" s="478"/>
      <c r="F28" s="482"/>
      <c r="G28" s="485"/>
    </row>
    <row r="29" spans="2:7" ht="19.350000000000001" customHeight="1" x14ac:dyDescent="0.3">
      <c r="B29" s="478" t="s">
        <v>168</v>
      </c>
      <c r="C29" s="478"/>
      <c r="D29" s="478"/>
      <c r="E29" s="478"/>
      <c r="F29" s="482"/>
    </row>
    <row r="30" spans="2:7" ht="25.65" customHeight="1" x14ac:dyDescent="0.3">
      <c r="B30" s="764" t="s">
        <v>158</v>
      </c>
      <c r="C30" s="765"/>
      <c r="D30" s="765"/>
      <c r="E30" s="765"/>
      <c r="F30" s="482"/>
    </row>
    <row r="31" spans="2:7" ht="19.350000000000001" customHeight="1" x14ac:dyDescent="0.3">
      <c r="B31" s="478" t="s">
        <v>263</v>
      </c>
      <c r="C31" s="478"/>
      <c r="D31" s="478"/>
      <c r="E31" s="478"/>
      <c r="F31" s="482"/>
    </row>
    <row r="32" spans="2:7" ht="27.6" customHeight="1" x14ac:dyDescent="0.3">
      <c r="B32" s="480" t="s">
        <v>247</v>
      </c>
      <c r="C32" s="502" t="s">
        <v>348</v>
      </c>
      <c r="D32" s="500"/>
      <c r="E32" s="478"/>
      <c r="F32" s="482"/>
      <c r="G32" s="485"/>
    </row>
    <row r="33" spans="2:7" ht="19.350000000000001" customHeight="1" x14ac:dyDescent="0.3">
      <c r="B33" s="480" t="s">
        <v>324</v>
      </c>
      <c r="C33" s="480">
        <v>800</v>
      </c>
      <c r="D33" s="478"/>
      <c r="E33" s="478"/>
      <c r="F33" s="482"/>
      <c r="G33" s="485"/>
    </row>
    <row r="34" spans="2:7" ht="19.350000000000001" customHeight="1" x14ac:dyDescent="0.3">
      <c r="B34" s="480" t="s">
        <v>325</v>
      </c>
      <c r="C34" s="480">
        <v>615</v>
      </c>
      <c r="D34" s="478"/>
      <c r="E34" s="478"/>
      <c r="F34" s="482"/>
      <c r="G34" s="485"/>
    </row>
    <row r="35" spans="2:7" ht="19.350000000000001" customHeight="1" x14ac:dyDescent="0.3">
      <c r="B35" s="480" t="s">
        <v>326</v>
      </c>
      <c r="C35" s="480">
        <v>3452.9839999999999</v>
      </c>
      <c r="D35" s="478"/>
      <c r="E35" s="478"/>
      <c r="F35" s="482"/>
      <c r="G35" s="485"/>
    </row>
    <row r="36" spans="2:7" ht="19.350000000000001" customHeight="1" x14ac:dyDescent="0.3">
      <c r="B36" s="480" t="s">
        <v>327</v>
      </c>
      <c r="C36" s="480">
        <v>560.88</v>
      </c>
      <c r="D36" s="478"/>
      <c r="E36" s="478"/>
      <c r="F36" s="482"/>
      <c r="G36" s="485"/>
    </row>
    <row r="37" spans="2:7" ht="19.350000000000001" customHeight="1" x14ac:dyDescent="0.3">
      <c r="B37" s="480" t="s">
        <v>328</v>
      </c>
      <c r="C37" s="480">
        <v>778</v>
      </c>
      <c r="D37" s="478"/>
      <c r="E37" s="478"/>
      <c r="F37" s="482"/>
      <c r="G37" s="485"/>
    </row>
    <row r="38" spans="2:7" ht="19.350000000000001" customHeight="1" x14ac:dyDescent="0.3">
      <c r="B38" s="480" t="s">
        <v>329</v>
      </c>
      <c r="C38" s="480">
        <v>1989.6</v>
      </c>
      <c r="D38" s="478"/>
      <c r="E38" s="478"/>
      <c r="F38" s="482"/>
      <c r="G38" s="485"/>
    </row>
    <row r="39" spans="2:7" ht="19.350000000000001" customHeight="1" x14ac:dyDescent="0.3">
      <c r="B39" s="480" t="s">
        <v>330</v>
      </c>
      <c r="C39" s="480">
        <v>600</v>
      </c>
      <c r="D39" s="478"/>
      <c r="E39" s="478"/>
      <c r="F39" s="482"/>
      <c r="G39" s="485"/>
    </row>
    <row r="40" spans="2:7" ht="19.350000000000001" customHeight="1" x14ac:dyDescent="0.3">
      <c r="B40" s="480" t="s">
        <v>331</v>
      </c>
      <c r="C40" s="480">
        <v>700</v>
      </c>
      <c r="D40" s="478"/>
      <c r="E40" s="478"/>
      <c r="F40" s="482"/>
      <c r="G40" s="485"/>
    </row>
    <row r="41" spans="2:7" ht="19.350000000000001" customHeight="1" x14ac:dyDescent="0.3">
      <c r="B41" s="480" t="s">
        <v>332</v>
      </c>
      <c r="C41" s="480">
        <v>874.79200000000003</v>
      </c>
      <c r="D41" s="478"/>
      <c r="E41" s="478"/>
      <c r="F41" s="482"/>
      <c r="G41" s="485"/>
    </row>
    <row r="42" spans="2:7" ht="19.350000000000001" customHeight="1" x14ac:dyDescent="0.3">
      <c r="B42" s="480" t="s">
        <v>333</v>
      </c>
      <c r="C42" s="480">
        <v>628.7440000000006</v>
      </c>
      <c r="D42" s="478"/>
      <c r="E42" s="478"/>
      <c r="F42" s="482"/>
      <c r="G42" s="485"/>
    </row>
    <row r="43" spans="2:7" ht="19.350000000000001" customHeight="1" x14ac:dyDescent="0.3">
      <c r="B43" s="480" t="s">
        <v>17</v>
      </c>
      <c r="C43" s="480">
        <f>SUM(C33:C42)</f>
        <v>11000</v>
      </c>
      <c r="D43" s="478"/>
      <c r="E43" s="478"/>
      <c r="F43" s="482"/>
      <c r="G43" s="485"/>
    </row>
    <row r="44" spans="2:7" ht="19.350000000000001" customHeight="1" x14ac:dyDescent="0.3">
      <c r="B44" s="505" t="s">
        <v>352</v>
      </c>
      <c r="C44" s="478"/>
      <c r="D44" s="478"/>
      <c r="E44" s="478"/>
      <c r="F44" s="482"/>
      <c r="G44" s="485"/>
    </row>
    <row r="45" spans="2:7" ht="19.350000000000001" customHeight="1" x14ac:dyDescent="0.3">
      <c r="B45" s="478" t="s">
        <v>421</v>
      </c>
      <c r="C45" s="478"/>
      <c r="D45" s="478"/>
      <c r="E45" s="478"/>
      <c r="F45" s="482"/>
      <c r="G45" s="485"/>
    </row>
    <row r="46" spans="2:7" ht="27.75" customHeight="1" x14ac:dyDescent="0.3">
      <c r="B46" s="764" t="s">
        <v>158</v>
      </c>
      <c r="C46" s="765"/>
      <c r="D46" s="765"/>
      <c r="E46" s="765"/>
      <c r="F46" s="482"/>
      <c r="G46" s="485"/>
    </row>
    <row r="47" spans="2:7" ht="19.350000000000001" customHeight="1" x14ac:dyDescent="0.3">
      <c r="B47" s="478" t="s">
        <v>632</v>
      </c>
      <c r="C47" s="478"/>
      <c r="D47" s="478"/>
      <c r="E47" s="478"/>
      <c r="F47" s="482"/>
      <c r="G47" s="485"/>
    </row>
    <row r="48" spans="2:7" ht="31.2" customHeight="1" x14ac:dyDescent="0.3">
      <c r="B48" s="480" t="s">
        <v>247</v>
      </c>
      <c r="C48" s="487" t="s">
        <v>349</v>
      </c>
      <c r="D48" s="480" t="s">
        <v>2</v>
      </c>
      <c r="E48" s="502" t="s">
        <v>348</v>
      </c>
      <c r="F48" s="500"/>
      <c r="G48" s="485"/>
    </row>
    <row r="49" spans="2:7" ht="19.350000000000001" customHeight="1" x14ac:dyDescent="0.3">
      <c r="B49" s="480" t="s">
        <v>324</v>
      </c>
      <c r="C49" s="480">
        <v>300</v>
      </c>
      <c r="D49" s="480">
        <v>1</v>
      </c>
      <c r="E49" s="480">
        <f>C49*D49</f>
        <v>300</v>
      </c>
      <c r="F49" s="482"/>
      <c r="G49" s="485"/>
    </row>
    <row r="50" spans="2:7" ht="19.350000000000001" customHeight="1" x14ac:dyDescent="0.3">
      <c r="B50" s="480" t="s">
        <v>325</v>
      </c>
      <c r="C50" s="480">
        <v>381</v>
      </c>
      <c r="D50" s="480">
        <v>1</v>
      </c>
      <c r="E50" s="480">
        <f t="shared" ref="E50:E56" si="0">C50*D50</f>
        <v>381</v>
      </c>
      <c r="F50" s="482"/>
      <c r="G50" s="485"/>
    </row>
    <row r="51" spans="2:7" ht="19.350000000000001" customHeight="1" x14ac:dyDescent="0.3">
      <c r="B51" s="480" t="s">
        <v>326</v>
      </c>
      <c r="C51" s="480">
        <v>4081.9199999999996</v>
      </c>
      <c r="D51" s="480">
        <v>1</v>
      </c>
      <c r="E51" s="480">
        <f t="shared" si="0"/>
        <v>4081.9199999999996</v>
      </c>
      <c r="F51" s="482"/>
      <c r="G51" s="485"/>
    </row>
    <row r="52" spans="2:7" ht="19.350000000000001" customHeight="1" x14ac:dyDescent="0.3">
      <c r="B52" s="480" t="s">
        <v>327</v>
      </c>
      <c r="C52" s="480">
        <v>502.608</v>
      </c>
      <c r="D52" s="480">
        <v>1</v>
      </c>
      <c r="E52" s="480">
        <f t="shared" si="0"/>
        <v>502.608</v>
      </c>
      <c r="F52" s="482"/>
      <c r="G52" s="485"/>
    </row>
    <row r="53" spans="2:7" ht="19.350000000000001" customHeight="1" x14ac:dyDescent="0.3">
      <c r="B53" s="480" t="s">
        <v>329</v>
      </c>
      <c r="C53" s="480">
        <v>2557.36</v>
      </c>
      <c r="D53" s="480">
        <v>1</v>
      </c>
      <c r="E53" s="480">
        <f t="shared" si="0"/>
        <v>2557.36</v>
      </c>
      <c r="F53" s="482"/>
      <c r="G53" s="485"/>
    </row>
    <row r="54" spans="2:7" ht="19.350000000000001" customHeight="1" x14ac:dyDescent="0.3">
      <c r="B54" s="480" t="s">
        <v>330</v>
      </c>
      <c r="C54" s="480">
        <v>299</v>
      </c>
      <c r="D54" s="480">
        <v>1</v>
      </c>
      <c r="E54" s="480">
        <f t="shared" si="0"/>
        <v>299</v>
      </c>
      <c r="F54" s="482"/>
      <c r="G54" s="485"/>
    </row>
    <row r="55" spans="2:7" ht="19.350000000000001" customHeight="1" x14ac:dyDescent="0.3">
      <c r="B55" s="480" t="s">
        <v>331</v>
      </c>
      <c r="C55" s="480">
        <v>350</v>
      </c>
      <c r="D55" s="480">
        <v>1</v>
      </c>
      <c r="E55" s="480">
        <f t="shared" si="0"/>
        <v>350</v>
      </c>
      <c r="F55" s="482"/>
      <c r="G55" s="485"/>
    </row>
    <row r="56" spans="2:7" ht="19.350000000000001" customHeight="1" x14ac:dyDescent="0.3">
      <c r="B56" s="480" t="s">
        <v>332</v>
      </c>
      <c r="C56" s="480">
        <v>528.11199999999997</v>
      </c>
      <c r="D56" s="480">
        <v>1</v>
      </c>
      <c r="E56" s="480">
        <f t="shared" si="0"/>
        <v>528.11199999999997</v>
      </c>
      <c r="F56" s="482"/>
      <c r="G56" s="485"/>
    </row>
    <row r="57" spans="2:7" ht="19.350000000000001" customHeight="1" x14ac:dyDescent="0.3">
      <c r="B57" s="480" t="s">
        <v>17</v>
      </c>
      <c r="C57" s="480">
        <f>SUM(C49:C56)</f>
        <v>9000</v>
      </c>
      <c r="D57" s="480">
        <v>1</v>
      </c>
      <c r="E57" s="480">
        <f>C57*D57</f>
        <v>9000</v>
      </c>
      <c r="F57" s="482"/>
      <c r="G57" s="485"/>
    </row>
    <row r="58" spans="2:7" ht="19.350000000000001" customHeight="1" x14ac:dyDescent="0.3">
      <c r="B58" s="505" t="s">
        <v>352</v>
      </c>
      <c r="C58" s="478"/>
      <c r="D58" s="478"/>
      <c r="E58" s="478"/>
      <c r="F58" s="482"/>
      <c r="G58" s="485"/>
    </row>
    <row r="59" spans="2:7" ht="19.350000000000001" customHeight="1" x14ac:dyDescent="0.3">
      <c r="B59" s="505"/>
      <c r="C59" s="478"/>
      <c r="D59" s="478"/>
      <c r="E59" s="478"/>
      <c r="F59" s="482"/>
      <c r="G59" s="485"/>
    </row>
    <row r="60" spans="2:7" ht="19.350000000000001" customHeight="1" x14ac:dyDescent="0.3">
      <c r="B60" s="505" t="s">
        <v>504</v>
      </c>
      <c r="C60" s="478"/>
      <c r="D60" s="478"/>
      <c r="E60" s="478"/>
      <c r="F60" s="482"/>
      <c r="G60" s="485"/>
    </row>
    <row r="61" spans="2:7" ht="22.8" customHeight="1" x14ac:dyDescent="0.3">
      <c r="B61" s="488" t="s">
        <v>380</v>
      </c>
      <c r="C61" s="480" t="s">
        <v>2</v>
      </c>
      <c r="D61" s="480" t="s">
        <v>370</v>
      </c>
      <c r="E61" s="538" t="s">
        <v>250</v>
      </c>
      <c r="G61" s="485"/>
    </row>
    <row r="62" spans="2:7" ht="19.350000000000001" customHeight="1" x14ac:dyDescent="0.3">
      <c r="B62" s="488" t="s">
        <v>512</v>
      </c>
      <c r="C62" s="480">
        <f>12+(2*8)</f>
        <v>28</v>
      </c>
      <c r="D62" s="480">
        <v>500</v>
      </c>
      <c r="E62" s="538">
        <f>D62*C62</f>
        <v>14000</v>
      </c>
      <c r="G62" s="485"/>
    </row>
    <row r="63" spans="2:7" ht="19.350000000000001" customHeight="1" x14ac:dyDescent="0.3">
      <c r="B63" s="488" t="s">
        <v>513</v>
      </c>
      <c r="C63" s="480">
        <f>6*3+2*6*3</f>
        <v>54</v>
      </c>
      <c r="D63" s="480">
        <v>35</v>
      </c>
      <c r="E63" s="538">
        <f>D63*C63</f>
        <v>1890</v>
      </c>
      <c r="G63" s="485"/>
    </row>
    <row r="64" spans="2:7" ht="19.350000000000001" customHeight="1" x14ac:dyDescent="0.3">
      <c r="B64" s="480" t="s">
        <v>17</v>
      </c>
      <c r="C64" s="480"/>
      <c r="D64" s="480"/>
      <c r="E64" s="538">
        <f>SUM(E62:E63)</f>
        <v>15890</v>
      </c>
      <c r="G64" s="485"/>
    </row>
    <row r="65" spans="2:28" ht="19.350000000000001" customHeight="1" x14ac:dyDescent="0.3">
      <c r="B65" s="480" t="s">
        <v>509</v>
      </c>
      <c r="C65" s="480"/>
      <c r="D65" s="480"/>
      <c r="E65" s="614">
        <f>E64/12</f>
        <v>1324.1666666666667</v>
      </c>
      <c r="G65" s="485"/>
    </row>
    <row r="66" spans="2:28" ht="19.350000000000001" customHeight="1" x14ac:dyDescent="0.3">
      <c r="B66" s="478"/>
      <c r="C66" s="478"/>
      <c r="D66" s="478"/>
      <c r="E66" s="613"/>
      <c r="G66" s="485"/>
    </row>
    <row r="67" spans="2:28" ht="14.4" customHeight="1" x14ac:dyDescent="0.3">
      <c r="B67" s="478" t="s">
        <v>189</v>
      </c>
      <c r="C67" s="497"/>
      <c r="D67" s="478"/>
      <c r="E67" s="478"/>
      <c r="F67" s="482"/>
    </row>
    <row r="68" spans="2:28" ht="16.2" customHeight="1" x14ac:dyDescent="0.3">
      <c r="B68" s="776" t="s">
        <v>178</v>
      </c>
      <c r="C68" s="777"/>
      <c r="D68" s="777"/>
      <c r="E68" s="777"/>
      <c r="F68" s="482"/>
    </row>
    <row r="69" spans="2:28" ht="30" customHeight="1" thickBot="1" x14ac:dyDescent="0.35">
      <c r="B69" s="760" t="s">
        <v>515</v>
      </c>
      <c r="C69" s="761"/>
      <c r="D69" s="761"/>
      <c r="E69" s="761"/>
      <c r="F69" s="761"/>
    </row>
    <row r="70" spans="2:28" ht="15" thickBot="1" x14ac:dyDescent="0.35">
      <c r="B70" s="409" t="s">
        <v>247</v>
      </c>
      <c r="C70" s="410" t="s">
        <v>248</v>
      </c>
      <c r="D70" s="410" t="s">
        <v>252</v>
      </c>
      <c r="E70" s="410" t="s">
        <v>253</v>
      </c>
      <c r="F70" s="410" t="s">
        <v>250</v>
      </c>
    </row>
    <row r="71" spans="2:28" ht="15" thickBot="1" x14ac:dyDescent="0.35">
      <c r="B71" s="411" t="s">
        <v>287</v>
      </c>
      <c r="C71" s="412">
        <v>150</v>
      </c>
      <c r="D71" s="472">
        <v>1</v>
      </c>
      <c r="E71" s="413">
        <v>15</v>
      </c>
      <c r="F71" s="412">
        <f>E71*C71*D71</f>
        <v>2250</v>
      </c>
    </row>
    <row r="72" spans="2:28" ht="29.4" thickBot="1" x14ac:dyDescent="0.35">
      <c r="B72" s="414" t="s">
        <v>322</v>
      </c>
      <c r="C72" s="412" t="s">
        <v>137</v>
      </c>
      <c r="D72" s="471"/>
      <c r="E72" s="420">
        <v>1</v>
      </c>
      <c r="F72" s="468">
        <v>178.35</v>
      </c>
    </row>
    <row r="73" spans="2:28" ht="15" thickBot="1" x14ac:dyDescent="0.35">
      <c r="B73" s="415" t="s">
        <v>30</v>
      </c>
      <c r="C73" s="416"/>
      <c r="D73" s="416"/>
      <c r="E73" s="416"/>
      <c r="F73" s="483">
        <f>SUM(F71:F72)</f>
        <v>2428.35</v>
      </c>
    </row>
    <row r="74" spans="2:28" ht="19.350000000000001" customHeight="1" x14ac:dyDescent="0.3">
      <c r="B74" s="478" t="s">
        <v>276</v>
      </c>
      <c r="C74" s="478"/>
      <c r="D74" s="478"/>
      <c r="E74" s="478"/>
      <c r="F74" s="482"/>
      <c r="G74" s="485"/>
      <c r="I74" s="537"/>
      <c r="J74" s="512"/>
      <c r="K74" s="536"/>
      <c r="L74" s="536"/>
      <c r="M74" s="512"/>
      <c r="N74" s="485"/>
      <c r="O74" s="485"/>
      <c r="P74" s="485"/>
      <c r="Q74" s="485"/>
      <c r="R74" s="485"/>
      <c r="S74" s="485"/>
      <c r="T74" s="485"/>
      <c r="U74" s="485"/>
      <c r="V74" s="485"/>
      <c r="W74" s="485"/>
      <c r="X74" s="485"/>
      <c r="Y74" s="485"/>
      <c r="Z74" s="485"/>
      <c r="AA74" s="485"/>
      <c r="AB74" s="485"/>
    </row>
    <row r="75" spans="2:28" ht="19.350000000000001" customHeight="1" x14ac:dyDescent="0.3">
      <c r="B75" s="752" t="s">
        <v>179</v>
      </c>
      <c r="C75" s="753"/>
      <c r="D75" s="753"/>
      <c r="E75" s="753"/>
      <c r="F75" s="482"/>
      <c r="G75" s="485"/>
      <c r="I75" s="478"/>
      <c r="J75" s="478"/>
      <c r="K75" s="478"/>
      <c r="L75" s="478"/>
      <c r="M75" s="479"/>
      <c r="N75" s="485"/>
      <c r="O75" s="485"/>
      <c r="P75" s="485"/>
      <c r="Q75" s="485"/>
      <c r="R75" s="485"/>
      <c r="S75" s="485"/>
      <c r="T75" s="485"/>
      <c r="U75" s="485"/>
      <c r="V75" s="485"/>
      <c r="W75" s="485"/>
      <c r="X75" s="485"/>
      <c r="Y75" s="485"/>
      <c r="Z75" s="485"/>
      <c r="AA75" s="485"/>
      <c r="AB75" s="485"/>
    </row>
    <row r="76" spans="2:28" ht="23.4" customHeight="1" x14ac:dyDescent="0.3">
      <c r="B76" s="751" t="s">
        <v>436</v>
      </c>
      <c r="C76" s="751"/>
      <c r="D76" s="751"/>
      <c r="E76" s="751"/>
      <c r="F76" s="482"/>
      <c r="G76" s="485"/>
      <c r="I76" s="485"/>
      <c r="J76" s="485"/>
      <c r="K76" s="485"/>
      <c r="L76" s="485"/>
      <c r="M76" s="485"/>
      <c r="N76" s="485"/>
      <c r="O76" s="485"/>
      <c r="P76" s="485"/>
      <c r="Q76" s="485"/>
      <c r="R76" s="485"/>
      <c r="S76" s="485"/>
      <c r="T76" s="485"/>
      <c r="U76" s="485"/>
      <c r="V76" s="485"/>
      <c r="W76" s="485"/>
      <c r="X76" s="485"/>
      <c r="Y76" s="485"/>
      <c r="Z76" s="485"/>
      <c r="AA76" s="485"/>
      <c r="AB76" s="485"/>
    </row>
    <row r="77" spans="2:28" ht="28.2" customHeight="1" x14ac:dyDescent="0.3">
      <c r="B77" s="480" t="s">
        <v>334</v>
      </c>
      <c r="C77" s="502" t="s">
        <v>348</v>
      </c>
      <c r="D77" s="500"/>
      <c r="E77" s="478"/>
      <c r="F77" s="482"/>
      <c r="I77" s="485"/>
      <c r="J77" s="485"/>
      <c r="K77" s="485"/>
      <c r="L77" s="485"/>
      <c r="M77" s="485"/>
      <c r="N77" s="485"/>
      <c r="O77" s="485"/>
      <c r="P77" s="485"/>
      <c r="Q77" s="485"/>
      <c r="R77" s="485"/>
      <c r="S77" s="485"/>
      <c r="T77" s="485"/>
      <c r="U77" s="485"/>
      <c r="V77" s="485"/>
      <c r="W77" s="485"/>
      <c r="X77" s="485"/>
      <c r="Y77" s="485"/>
      <c r="Z77" s="485"/>
      <c r="AA77" s="485"/>
      <c r="AB77" s="485"/>
    </row>
    <row r="78" spans="2:28" ht="45" customHeight="1" x14ac:dyDescent="0.3">
      <c r="B78" s="487" t="s">
        <v>335</v>
      </c>
      <c r="C78" s="488">
        <v>131.50200000000001</v>
      </c>
      <c r="D78" s="500"/>
      <c r="E78" s="478"/>
      <c r="F78" s="482"/>
    </row>
    <row r="79" spans="2:28" ht="19.350000000000001" customHeight="1" x14ac:dyDescent="0.3">
      <c r="B79" s="480" t="s">
        <v>336</v>
      </c>
      <c r="C79" s="488">
        <v>50.52</v>
      </c>
      <c r="D79" s="478"/>
      <c r="E79" s="478"/>
      <c r="F79" s="482"/>
    </row>
    <row r="80" spans="2:28" ht="19.350000000000001" customHeight="1" x14ac:dyDescent="0.3">
      <c r="B80" s="480" t="s">
        <v>337</v>
      </c>
      <c r="C80" s="488">
        <v>35.124000000000002</v>
      </c>
      <c r="D80" s="478"/>
      <c r="E80" s="478"/>
      <c r="F80" s="482"/>
    </row>
    <row r="81" spans="2:9" ht="19.350000000000001" customHeight="1" x14ac:dyDescent="0.3">
      <c r="B81" s="480" t="s">
        <v>338</v>
      </c>
      <c r="C81" s="488">
        <v>83.374000000000009</v>
      </c>
      <c r="D81" s="478"/>
      <c r="E81" s="478"/>
      <c r="F81" s="482"/>
    </row>
    <row r="82" spans="2:9" ht="19.350000000000001" customHeight="1" x14ac:dyDescent="0.3">
      <c r="B82" s="480" t="s">
        <v>17</v>
      </c>
      <c r="C82" s="480">
        <f>SUM(C78:C81)</f>
        <v>300.52000000000004</v>
      </c>
      <c r="D82" s="478"/>
      <c r="E82" s="478"/>
      <c r="F82" s="482"/>
    </row>
    <row r="83" spans="2:9" ht="19.350000000000001" customHeight="1" x14ac:dyDescent="0.3">
      <c r="B83" s="505" t="s">
        <v>353</v>
      </c>
      <c r="C83" s="478"/>
      <c r="D83" s="478"/>
      <c r="E83" s="478"/>
      <c r="F83" s="482"/>
    </row>
    <row r="84" spans="2:9" ht="19.350000000000001" customHeight="1" x14ac:dyDescent="0.3">
      <c r="B84" s="478"/>
      <c r="C84" s="478"/>
      <c r="D84" s="478"/>
      <c r="E84" s="478"/>
      <c r="F84" s="482"/>
    </row>
    <row r="85" spans="2:9" ht="33.6" customHeight="1" x14ac:dyDescent="0.3">
      <c r="B85" s="751" t="s">
        <v>516</v>
      </c>
      <c r="C85" s="751"/>
      <c r="D85" s="751"/>
      <c r="E85" s="478"/>
      <c r="F85" s="482"/>
    </row>
    <row r="86" spans="2:9" ht="28.2" customHeight="1" x14ac:dyDescent="0.3">
      <c r="B86" s="17" t="s">
        <v>334</v>
      </c>
      <c r="C86" s="487" t="s">
        <v>348</v>
      </c>
      <c r="D86" s="506"/>
      <c r="E86" s="478"/>
      <c r="F86" s="482"/>
      <c r="I86">
        <f>300/800</f>
        <v>0.375</v>
      </c>
    </row>
    <row r="87" spans="2:9" ht="19.350000000000001" customHeight="1" x14ac:dyDescent="0.3">
      <c r="B87" s="17" t="s">
        <v>391</v>
      </c>
      <c r="C87" s="539">
        <v>17</v>
      </c>
      <c r="D87" s="478"/>
      <c r="E87" s="478"/>
      <c r="F87" s="482"/>
    </row>
    <row r="88" spans="2:9" ht="23.4" customHeight="1" x14ac:dyDescent="0.3">
      <c r="B88" s="17" t="s">
        <v>392</v>
      </c>
      <c r="C88" s="480">
        <v>26</v>
      </c>
      <c r="D88" s="478"/>
      <c r="E88" s="478"/>
      <c r="F88" s="482"/>
    </row>
    <row r="89" spans="2:9" ht="19.350000000000001" customHeight="1" x14ac:dyDescent="0.3">
      <c r="B89" s="17" t="s">
        <v>393</v>
      </c>
      <c r="C89" s="480">
        <v>22</v>
      </c>
      <c r="D89" s="478"/>
      <c r="E89" s="478"/>
      <c r="F89" s="482"/>
    </row>
    <row r="90" spans="2:9" ht="19.350000000000001" customHeight="1" x14ac:dyDescent="0.3">
      <c r="B90" s="17" t="s">
        <v>433</v>
      </c>
      <c r="C90" s="480">
        <v>5</v>
      </c>
      <c r="D90" s="478"/>
      <c r="E90" s="478"/>
      <c r="F90" s="482"/>
    </row>
    <row r="91" spans="2:9" ht="19.350000000000001" customHeight="1" x14ac:dyDescent="0.3">
      <c r="B91" s="480" t="s">
        <v>17</v>
      </c>
      <c r="C91" s="539">
        <f>SUM(C87:C90)</f>
        <v>70</v>
      </c>
      <c r="D91" s="478"/>
      <c r="E91" s="478"/>
      <c r="F91" s="482"/>
    </row>
    <row r="92" spans="2:9" ht="19.350000000000001" customHeight="1" x14ac:dyDescent="0.3">
      <c r="B92" s="478"/>
      <c r="C92" s="540"/>
      <c r="D92" s="478"/>
      <c r="E92" s="478"/>
      <c r="F92" s="482"/>
    </row>
    <row r="93" spans="2:9" ht="19.350000000000001" customHeight="1" x14ac:dyDescent="0.3">
      <c r="B93" s="505" t="s">
        <v>517</v>
      </c>
      <c r="C93" s="540"/>
      <c r="D93" s="478"/>
      <c r="E93" s="478"/>
      <c r="F93" s="482"/>
    </row>
    <row r="94" spans="2:9" ht="26.4" customHeight="1" x14ac:dyDescent="0.3">
      <c r="B94" s="480" t="s">
        <v>334</v>
      </c>
      <c r="C94" s="587" t="s">
        <v>348</v>
      </c>
      <c r="D94" s="503" t="s">
        <v>340</v>
      </c>
      <c r="E94" s="502" t="s">
        <v>341</v>
      </c>
      <c r="F94" s="482"/>
      <c r="H94" s="507"/>
      <c r="I94" s="508"/>
    </row>
    <row r="95" spans="2:9" ht="19.350000000000001" customHeight="1" x14ac:dyDescent="0.3">
      <c r="B95" s="480" t="s">
        <v>355</v>
      </c>
      <c r="C95" s="588">
        <v>3600</v>
      </c>
      <c r="D95" s="488">
        <v>24</v>
      </c>
      <c r="E95" s="489">
        <f>C95/D95</f>
        <v>150</v>
      </c>
      <c r="F95" s="482"/>
    </row>
    <row r="96" spans="2:9" ht="19.350000000000001" customHeight="1" x14ac:dyDescent="0.3">
      <c r="B96" s="480" t="s">
        <v>356</v>
      </c>
      <c r="C96" s="588">
        <v>2250</v>
      </c>
      <c r="D96" s="488">
        <v>24</v>
      </c>
      <c r="E96" s="489">
        <f>C96/D96</f>
        <v>93.75</v>
      </c>
      <c r="F96" s="482"/>
    </row>
    <row r="97" spans="2:9" ht="19.350000000000001" customHeight="1" x14ac:dyDescent="0.3">
      <c r="B97" s="480" t="s">
        <v>529</v>
      </c>
      <c r="C97" s="588">
        <v>1200</v>
      </c>
      <c r="D97" s="488">
        <v>24</v>
      </c>
      <c r="E97" s="489">
        <f>C97/D97</f>
        <v>50</v>
      </c>
      <c r="F97" s="482"/>
    </row>
    <row r="98" spans="2:9" ht="19.350000000000001" customHeight="1" x14ac:dyDescent="0.3">
      <c r="B98" s="480" t="s">
        <v>339</v>
      </c>
      <c r="C98" s="588">
        <v>3600</v>
      </c>
      <c r="D98" s="488">
        <v>24</v>
      </c>
      <c r="E98" s="489">
        <f>C98/D98</f>
        <v>150</v>
      </c>
      <c r="F98" s="482"/>
    </row>
    <row r="99" spans="2:9" ht="19.350000000000001" customHeight="1" x14ac:dyDescent="0.3">
      <c r="B99" s="480" t="s">
        <v>17</v>
      </c>
      <c r="C99" s="588">
        <f>SUM(C95:C98)</f>
        <v>10650</v>
      </c>
      <c r="D99" s="480">
        <v>24</v>
      </c>
      <c r="E99" s="480">
        <f>C99/D99</f>
        <v>443.75</v>
      </c>
      <c r="F99" s="482"/>
    </row>
    <row r="100" spans="2:9" ht="19.350000000000001" customHeight="1" x14ac:dyDescent="0.3">
      <c r="B100" s="509" t="s">
        <v>354</v>
      </c>
      <c r="C100" s="501"/>
      <c r="D100" s="478"/>
      <c r="E100" s="478"/>
      <c r="F100" s="482"/>
    </row>
    <row r="101" spans="2:9" ht="19.350000000000001" customHeight="1" x14ac:dyDescent="0.3">
      <c r="B101" s="478"/>
      <c r="C101" s="478"/>
      <c r="D101" s="478"/>
      <c r="E101" s="478"/>
      <c r="F101" s="482"/>
    </row>
    <row r="102" spans="2:9" ht="33.6" customHeight="1" x14ac:dyDescent="0.3">
      <c r="B102" s="751" t="s">
        <v>395</v>
      </c>
      <c r="C102" s="751"/>
      <c r="D102" s="751"/>
      <c r="E102" s="478"/>
      <c r="F102" s="482"/>
    </row>
    <row r="103" spans="2:9" ht="28.2" customHeight="1" x14ac:dyDescent="0.3">
      <c r="B103" s="17" t="s">
        <v>334</v>
      </c>
      <c r="C103" s="487" t="s">
        <v>348</v>
      </c>
      <c r="D103" s="506" t="s">
        <v>397</v>
      </c>
      <c r="E103" s="478"/>
      <c r="F103" s="482"/>
      <c r="I103">
        <f>300/800</f>
        <v>0.375</v>
      </c>
    </row>
    <row r="104" spans="2:9" ht="37.799999999999997" customHeight="1" x14ac:dyDescent="0.3">
      <c r="B104" s="17" t="s">
        <v>396</v>
      </c>
      <c r="C104" s="539">
        <v>20</v>
      </c>
      <c r="D104" s="505" t="s">
        <v>398</v>
      </c>
      <c r="E104" s="478"/>
      <c r="F104" s="482"/>
    </row>
    <row r="105" spans="2:9" ht="37.799999999999997" customHeight="1" x14ac:dyDescent="0.3">
      <c r="B105" s="17" t="s">
        <v>390</v>
      </c>
      <c r="C105" s="539">
        <f>C104*70</f>
        <v>1400</v>
      </c>
      <c r="D105" s="478"/>
      <c r="E105" s="478"/>
      <c r="F105" s="482"/>
    </row>
    <row r="106" spans="2:9" ht="19.350000000000001" customHeight="1" x14ac:dyDescent="0.3">
      <c r="B106" s="478"/>
      <c r="C106" s="540"/>
      <c r="D106" s="478"/>
      <c r="E106" s="478"/>
      <c r="F106" s="482"/>
    </row>
    <row r="107" spans="2:9" x14ac:dyDescent="0.3">
      <c r="B107" s="510" t="s">
        <v>191</v>
      </c>
      <c r="C107" s="478"/>
      <c r="D107" s="478"/>
      <c r="E107" s="478"/>
      <c r="F107" s="479"/>
    </row>
    <row r="108" spans="2:9" ht="18.600000000000001" customHeight="1" x14ac:dyDescent="0.3">
      <c r="B108" s="774" t="s">
        <v>180</v>
      </c>
      <c r="C108" s="775"/>
      <c r="D108" s="775"/>
      <c r="E108" s="775"/>
      <c r="F108" s="482"/>
    </row>
    <row r="109" spans="2:9" ht="40.200000000000003" customHeight="1" thickBot="1" x14ac:dyDescent="0.35">
      <c r="B109" s="778" t="s">
        <v>518</v>
      </c>
      <c r="C109" s="779"/>
      <c r="D109" s="779"/>
      <c r="E109" s="779"/>
      <c r="F109" s="482"/>
    </row>
    <row r="110" spans="2:9" ht="15" thickBot="1" x14ac:dyDescent="0.35">
      <c r="B110" s="409" t="s">
        <v>247</v>
      </c>
      <c r="C110" s="410" t="s">
        <v>248</v>
      </c>
      <c r="D110" s="410" t="s">
        <v>522</v>
      </c>
      <c r="E110" s="410" t="s">
        <v>253</v>
      </c>
      <c r="F110" s="410" t="s">
        <v>250</v>
      </c>
    </row>
    <row r="111" spans="2:9" ht="15" thickBot="1" x14ac:dyDescent="0.35">
      <c r="B111" s="411" t="s">
        <v>519</v>
      </c>
      <c r="C111" s="412">
        <v>45</v>
      </c>
      <c r="D111" s="419">
        <v>2</v>
      </c>
      <c r="E111" s="471"/>
      <c r="F111" s="412">
        <v>5000</v>
      </c>
    </row>
    <row r="112" spans="2:9" ht="15" thickBot="1" x14ac:dyDescent="0.35">
      <c r="B112" s="414" t="s">
        <v>520</v>
      </c>
      <c r="C112" s="467">
        <v>2.5</v>
      </c>
      <c r="D112" s="419">
        <v>2</v>
      </c>
      <c r="E112" s="413"/>
      <c r="F112" s="412">
        <v>1000</v>
      </c>
    </row>
    <row r="113" spans="2:6" ht="15" thickBot="1" x14ac:dyDescent="0.35">
      <c r="B113" s="414" t="s">
        <v>521</v>
      </c>
      <c r="C113" s="467">
        <v>5</v>
      </c>
      <c r="D113" s="419">
        <v>2</v>
      </c>
      <c r="E113" s="413"/>
      <c r="F113" s="412">
        <v>7500</v>
      </c>
    </row>
    <row r="114" spans="2:6" ht="15" thickBot="1" x14ac:dyDescent="0.35">
      <c r="B114" s="415" t="s">
        <v>30</v>
      </c>
      <c r="C114" s="416"/>
      <c r="D114" s="416"/>
      <c r="E114" s="416"/>
      <c r="F114" s="417">
        <f>SUM(F111:F113)</f>
        <v>13500</v>
      </c>
    </row>
    <row r="115" spans="2:6" ht="19.350000000000001" customHeight="1" x14ac:dyDescent="0.3">
      <c r="B115" s="478" t="s">
        <v>523</v>
      </c>
      <c r="C115" s="540"/>
      <c r="D115" s="478"/>
      <c r="E115" s="478"/>
      <c r="F115" s="482">
        <f>F114/2</f>
        <v>6750</v>
      </c>
    </row>
    <row r="116" spans="2:6" x14ac:dyDescent="0.3">
      <c r="B116" s="510"/>
      <c r="C116" s="478"/>
      <c r="D116" s="478"/>
      <c r="E116" s="478"/>
      <c r="F116" s="479"/>
    </row>
    <row r="117" spans="2:6" x14ac:dyDescent="0.3">
      <c r="B117" s="510" t="s">
        <v>193</v>
      </c>
      <c r="C117" s="478"/>
      <c r="D117" s="478"/>
      <c r="E117" s="478"/>
      <c r="F117" s="479"/>
    </row>
    <row r="118" spans="2:6" ht="18.600000000000001" customHeight="1" x14ac:dyDescent="0.3">
      <c r="B118" s="774" t="s">
        <v>180</v>
      </c>
      <c r="C118" s="775"/>
      <c r="D118" s="775"/>
      <c r="E118" s="775"/>
      <c r="F118" s="482"/>
    </row>
    <row r="119" spans="2:6" ht="44.4" customHeight="1" thickBot="1" x14ac:dyDescent="0.35">
      <c r="B119" s="778" t="s">
        <v>405</v>
      </c>
      <c r="C119" s="779"/>
      <c r="D119" s="779"/>
      <c r="E119" s="779"/>
      <c r="F119" s="482"/>
    </row>
    <row r="120" spans="2:6" ht="15" thickBot="1" x14ac:dyDescent="0.35">
      <c r="B120" s="409" t="s">
        <v>247</v>
      </c>
      <c r="C120" s="410" t="s">
        <v>248</v>
      </c>
      <c r="D120" s="410" t="s">
        <v>249</v>
      </c>
      <c r="E120" s="410" t="s">
        <v>250</v>
      </c>
    </row>
    <row r="121" spans="2:6" ht="15" thickBot="1" x14ac:dyDescent="0.35">
      <c r="B121" s="411" t="s">
        <v>369</v>
      </c>
      <c r="C121" s="412">
        <v>150</v>
      </c>
      <c r="D121" s="413">
        <v>10</v>
      </c>
      <c r="E121" s="412">
        <f>+D121*C121</f>
        <v>1500</v>
      </c>
    </row>
    <row r="122" spans="2:6" ht="15" thickBot="1" x14ac:dyDescent="0.35">
      <c r="B122" s="411" t="s">
        <v>251</v>
      </c>
      <c r="C122" s="467" t="s">
        <v>359</v>
      </c>
      <c r="D122" s="413">
        <f>5*40</f>
        <v>200</v>
      </c>
      <c r="E122" s="412">
        <f>D122</f>
        <v>200</v>
      </c>
    </row>
    <row r="123" spans="2:6" ht="15" thickBot="1" x14ac:dyDescent="0.35">
      <c r="B123" s="411" t="s">
        <v>358</v>
      </c>
      <c r="C123" s="467" t="s">
        <v>359</v>
      </c>
      <c r="D123" s="419">
        <v>50</v>
      </c>
      <c r="E123" s="412">
        <f>D123</f>
        <v>50</v>
      </c>
    </row>
    <row r="124" spans="2:6" ht="15" thickBot="1" x14ac:dyDescent="0.35">
      <c r="B124" s="415" t="s">
        <v>30</v>
      </c>
      <c r="C124" s="416"/>
      <c r="D124" s="416"/>
      <c r="E124" s="417">
        <f>SUM(E121:E123)</f>
        <v>1750</v>
      </c>
    </row>
    <row r="125" spans="2:6" x14ac:dyDescent="0.3">
      <c r="B125" s="511"/>
      <c r="C125" s="478"/>
      <c r="D125" s="478"/>
      <c r="E125" s="478"/>
      <c r="F125" s="482"/>
    </row>
    <row r="126" spans="2:6" x14ac:dyDescent="0.3">
      <c r="B126" s="511"/>
      <c r="C126" s="478"/>
      <c r="D126" s="478"/>
      <c r="E126" s="478"/>
      <c r="F126" s="482"/>
    </row>
    <row r="127" spans="2:6" ht="14.4" customHeight="1" x14ac:dyDescent="0.3">
      <c r="B127" s="478" t="s">
        <v>323</v>
      </c>
      <c r="C127" s="478"/>
      <c r="D127" s="478"/>
      <c r="E127" s="478"/>
      <c r="F127" s="482"/>
    </row>
    <row r="128" spans="2:6" x14ac:dyDescent="0.3">
      <c r="B128" s="764" t="s">
        <v>181</v>
      </c>
      <c r="C128" s="765"/>
      <c r="D128" s="765"/>
      <c r="E128" s="765"/>
      <c r="F128" s="482"/>
    </row>
    <row r="129" spans="2:6" ht="20.399999999999999" customHeight="1" thickBot="1" x14ac:dyDescent="0.35">
      <c r="B129" s="754" t="s">
        <v>402</v>
      </c>
      <c r="C129" s="755"/>
      <c r="D129" s="755"/>
      <c r="E129" s="755"/>
      <c r="F129" s="755"/>
    </row>
    <row r="130" spans="2:6" ht="15" thickBot="1" x14ac:dyDescent="0.35">
      <c r="B130" s="409" t="s">
        <v>247</v>
      </c>
      <c r="C130" s="410" t="s">
        <v>248</v>
      </c>
      <c r="D130" s="410" t="s">
        <v>252</v>
      </c>
      <c r="E130" s="410" t="s">
        <v>253</v>
      </c>
      <c r="F130" s="410" t="s">
        <v>250</v>
      </c>
    </row>
    <row r="131" spans="2:6" ht="29.4" thickBot="1" x14ac:dyDescent="0.35">
      <c r="B131" s="414" t="s">
        <v>399</v>
      </c>
      <c r="C131" s="412">
        <v>150</v>
      </c>
      <c r="D131" s="472">
        <v>3</v>
      </c>
      <c r="E131" s="413">
        <v>30</v>
      </c>
      <c r="F131" s="412">
        <f>E131*C131*D131</f>
        <v>13500</v>
      </c>
    </row>
    <row r="132" spans="2:6" ht="15" thickBot="1" x14ac:dyDescent="0.35">
      <c r="B132" s="782" t="s">
        <v>357</v>
      </c>
      <c r="C132" s="783"/>
      <c r="D132" s="783"/>
      <c r="E132" s="783"/>
      <c r="F132" s="784"/>
    </row>
    <row r="133" spans="2:6" ht="15" thickBot="1" x14ac:dyDescent="0.35">
      <c r="B133" s="411" t="s">
        <v>289</v>
      </c>
      <c r="C133" s="412">
        <v>45</v>
      </c>
      <c r="D133" s="419">
        <v>42</v>
      </c>
      <c r="E133" s="420">
        <v>3</v>
      </c>
      <c r="F133" s="412">
        <f>E133*C133*D133</f>
        <v>5670</v>
      </c>
    </row>
    <row r="134" spans="2:6" ht="15" thickBot="1" x14ac:dyDescent="0.35">
      <c r="B134" s="414" t="s">
        <v>285</v>
      </c>
      <c r="C134" s="467">
        <v>2.5</v>
      </c>
      <c r="D134" s="419">
        <v>42</v>
      </c>
      <c r="E134" s="413">
        <v>3</v>
      </c>
      <c r="F134" s="412">
        <f>E134*C134*D134</f>
        <v>315</v>
      </c>
    </row>
    <row r="135" spans="2:6" ht="15" thickBot="1" x14ac:dyDescent="0.35">
      <c r="B135" s="414" t="s">
        <v>255</v>
      </c>
      <c r="C135" s="421" t="s">
        <v>107</v>
      </c>
      <c r="D135" s="413"/>
      <c r="E135" s="413"/>
      <c r="F135" s="412">
        <v>1335</v>
      </c>
    </row>
    <row r="136" spans="2:6" ht="21" customHeight="1" thickBot="1" x14ac:dyDescent="0.35">
      <c r="B136" s="414" t="s">
        <v>256</v>
      </c>
      <c r="C136" s="412">
        <v>20</v>
      </c>
      <c r="D136" s="413">
        <v>18</v>
      </c>
      <c r="E136" s="413">
        <v>3</v>
      </c>
      <c r="F136" s="412">
        <f>E136*D136*C136</f>
        <v>1080</v>
      </c>
    </row>
    <row r="137" spans="2:6" ht="15" thickBot="1" x14ac:dyDescent="0.35">
      <c r="B137" s="415" t="s">
        <v>30</v>
      </c>
      <c r="C137" s="416"/>
      <c r="D137" s="416"/>
      <c r="E137" s="416"/>
      <c r="F137" s="417">
        <f>SUM(F131:F136)</f>
        <v>21900</v>
      </c>
    </row>
    <row r="138" spans="2:6" ht="15" thickBot="1" x14ac:dyDescent="0.35">
      <c r="B138" s="415" t="s">
        <v>30</v>
      </c>
      <c r="C138" s="416"/>
      <c r="D138" s="416"/>
      <c r="E138" s="416"/>
      <c r="F138" s="417">
        <f>SUM(F133:F137)</f>
        <v>30300</v>
      </c>
    </row>
    <row r="139" spans="2:6" x14ac:dyDescent="0.3">
      <c r="B139" s="478"/>
      <c r="C139" s="478"/>
      <c r="D139" s="478"/>
      <c r="E139" s="478"/>
      <c r="F139" s="479"/>
    </row>
    <row r="140" spans="2:6" ht="25.8" customHeight="1" x14ac:dyDescent="0.3">
      <c r="B140" s="595" t="s">
        <v>182</v>
      </c>
      <c r="C140" s="594"/>
      <c r="D140" s="594"/>
      <c r="E140" s="594"/>
      <c r="F140" s="594"/>
    </row>
    <row r="141" spans="2:6" ht="30.6" customHeight="1" thickBot="1" x14ac:dyDescent="0.35">
      <c r="B141" s="786" t="s">
        <v>530</v>
      </c>
      <c r="C141" s="786"/>
      <c r="D141" s="786"/>
      <c r="E141" s="786"/>
      <c r="F141" s="786"/>
    </row>
    <row r="142" spans="2:6" ht="15" thickBot="1" x14ac:dyDescent="0.35">
      <c r="B142" s="409" t="s">
        <v>247</v>
      </c>
      <c r="C142" s="410" t="s">
        <v>248</v>
      </c>
      <c r="D142" s="410" t="s">
        <v>252</v>
      </c>
      <c r="E142" s="410" t="s">
        <v>253</v>
      </c>
      <c r="F142" s="410" t="s">
        <v>250</v>
      </c>
    </row>
    <row r="143" spans="2:6" s="474" customFormat="1" ht="15" thickBot="1" x14ac:dyDescent="0.35">
      <c r="B143" s="411" t="s">
        <v>360</v>
      </c>
      <c r="C143" s="421">
        <v>45</v>
      </c>
      <c r="D143" s="421">
        <v>2</v>
      </c>
      <c r="E143" s="421">
        <v>10</v>
      </c>
      <c r="F143" s="412">
        <f>E143*C143*D143</f>
        <v>900</v>
      </c>
    </row>
    <row r="144" spans="2:6" ht="18" customHeight="1" thickBot="1" x14ac:dyDescent="0.35">
      <c r="B144" s="414" t="s">
        <v>365</v>
      </c>
      <c r="C144" s="412">
        <v>45</v>
      </c>
      <c r="D144" s="472">
        <v>4</v>
      </c>
      <c r="E144" s="413">
        <v>4</v>
      </c>
      <c r="F144" s="412">
        <f>E144*C144*D144</f>
        <v>720</v>
      </c>
    </row>
    <row r="145" spans="2:6" ht="15" thickBot="1" x14ac:dyDescent="0.35">
      <c r="B145" s="411" t="s">
        <v>364</v>
      </c>
      <c r="C145" s="412">
        <v>30</v>
      </c>
      <c r="D145" s="419">
        <v>14</v>
      </c>
      <c r="E145" s="413">
        <v>8</v>
      </c>
      <c r="F145" s="412">
        <f t="shared" ref="F145:F153" si="1">E145*C145*D145</f>
        <v>3360</v>
      </c>
    </row>
    <row r="146" spans="2:6" ht="15" thickBot="1" x14ac:dyDescent="0.35">
      <c r="B146" s="411" t="s">
        <v>364</v>
      </c>
      <c r="C146" s="412">
        <v>35</v>
      </c>
      <c r="D146" s="419">
        <v>3</v>
      </c>
      <c r="E146" s="413">
        <v>8</v>
      </c>
      <c r="F146" s="412">
        <f>E146*C146*D146</f>
        <v>840</v>
      </c>
    </row>
    <row r="147" spans="2:6" ht="15" thickBot="1" x14ac:dyDescent="0.35">
      <c r="B147" s="411" t="s">
        <v>361</v>
      </c>
      <c r="C147" s="467">
        <v>6.5</v>
      </c>
      <c r="D147" s="419">
        <v>27</v>
      </c>
      <c r="E147" s="413">
        <v>8</v>
      </c>
      <c r="F147" s="412">
        <f t="shared" si="1"/>
        <v>1404</v>
      </c>
    </row>
    <row r="148" spans="2:6" ht="15" thickBot="1" x14ac:dyDescent="0.35">
      <c r="B148" s="411" t="s">
        <v>362</v>
      </c>
      <c r="C148" s="412">
        <v>5</v>
      </c>
      <c r="D148" s="419">
        <v>27</v>
      </c>
      <c r="E148" s="413">
        <v>8</v>
      </c>
      <c r="F148" s="412">
        <f t="shared" si="1"/>
        <v>1080</v>
      </c>
    </row>
    <row r="149" spans="2:6" ht="15" thickBot="1" x14ac:dyDescent="0.35">
      <c r="B149" s="411" t="s">
        <v>363</v>
      </c>
      <c r="C149" s="412">
        <v>10</v>
      </c>
      <c r="D149" s="419">
        <v>27</v>
      </c>
      <c r="E149" s="471">
        <v>2</v>
      </c>
      <c r="F149" s="412">
        <f t="shared" si="1"/>
        <v>540</v>
      </c>
    </row>
    <row r="150" spans="2:6" ht="15" thickBot="1" x14ac:dyDescent="0.35">
      <c r="B150" s="414" t="s">
        <v>285</v>
      </c>
      <c r="C150" s="467">
        <v>2.5</v>
      </c>
      <c r="D150" s="419">
        <v>45</v>
      </c>
      <c r="E150" s="413">
        <v>8</v>
      </c>
      <c r="F150" s="412">
        <f t="shared" si="1"/>
        <v>900</v>
      </c>
    </row>
    <row r="151" spans="2:6" ht="15" thickBot="1" x14ac:dyDescent="0.35">
      <c r="B151" s="414" t="s">
        <v>367</v>
      </c>
      <c r="C151" s="421">
        <v>20</v>
      </c>
      <c r="D151" s="413">
        <v>2</v>
      </c>
      <c r="E151" s="413">
        <v>2</v>
      </c>
      <c r="F151" s="412">
        <f t="shared" si="1"/>
        <v>80</v>
      </c>
    </row>
    <row r="152" spans="2:6" ht="21" customHeight="1" thickBot="1" x14ac:dyDescent="0.35">
      <c r="B152" s="414" t="s">
        <v>366</v>
      </c>
      <c r="C152" s="412">
        <v>20</v>
      </c>
      <c r="D152" s="413">
        <v>2</v>
      </c>
      <c r="E152" s="413">
        <v>4</v>
      </c>
      <c r="F152" s="412">
        <f t="shared" si="1"/>
        <v>160</v>
      </c>
    </row>
    <row r="153" spans="2:6" ht="21" customHeight="1" thickBot="1" x14ac:dyDescent="0.35">
      <c r="B153" s="414" t="s">
        <v>254</v>
      </c>
      <c r="C153" s="412">
        <v>100</v>
      </c>
      <c r="D153" s="413">
        <v>1</v>
      </c>
      <c r="E153" s="413">
        <v>8</v>
      </c>
      <c r="F153" s="412">
        <f t="shared" si="1"/>
        <v>800</v>
      </c>
    </row>
    <row r="154" spans="2:6" ht="15" thickBot="1" x14ac:dyDescent="0.35">
      <c r="B154" s="415" t="s">
        <v>30</v>
      </c>
      <c r="C154" s="416"/>
      <c r="D154" s="416"/>
      <c r="E154" s="416"/>
      <c r="F154" s="412">
        <f>SUM(F143:F152)</f>
        <v>9984</v>
      </c>
    </row>
    <row r="155" spans="2:6" ht="15" thickBot="1" x14ac:dyDescent="0.35">
      <c r="B155" s="624"/>
      <c r="C155" s="624"/>
      <c r="D155" s="624"/>
      <c r="E155" s="624"/>
      <c r="F155" s="625"/>
    </row>
    <row r="156" spans="2:6" ht="30.6" customHeight="1" thickBot="1" x14ac:dyDescent="0.35">
      <c r="B156" s="786" t="s">
        <v>550</v>
      </c>
      <c r="C156" s="786"/>
      <c r="D156" s="786"/>
      <c r="E156" s="786"/>
      <c r="F156" s="786"/>
    </row>
    <row r="157" spans="2:6" ht="15" thickBot="1" x14ac:dyDescent="0.35">
      <c r="B157" s="409" t="s">
        <v>247</v>
      </c>
      <c r="C157" s="410" t="s">
        <v>248</v>
      </c>
      <c r="D157" s="410" t="s">
        <v>252</v>
      </c>
      <c r="E157" s="410" t="s">
        <v>253</v>
      </c>
      <c r="F157" s="410" t="s">
        <v>250</v>
      </c>
    </row>
    <row r="158" spans="2:6" s="474" customFormat="1" ht="29.4" thickBot="1" x14ac:dyDescent="0.35">
      <c r="B158" s="414" t="s">
        <v>551</v>
      </c>
      <c r="C158" s="421" t="s">
        <v>107</v>
      </c>
      <c r="D158" s="421"/>
      <c r="E158" s="421"/>
      <c r="F158" s="412">
        <v>12000</v>
      </c>
    </row>
    <row r="159" spans="2:6" s="474" customFormat="1" ht="15" thickBot="1" x14ac:dyDescent="0.35">
      <c r="B159" s="414" t="s">
        <v>552</v>
      </c>
      <c r="C159" s="421"/>
      <c r="D159" s="421"/>
      <c r="E159" s="421"/>
      <c r="F159" s="412"/>
    </row>
    <row r="160" spans="2:6" ht="15" thickBot="1" x14ac:dyDescent="0.35">
      <c r="B160" s="411" t="s">
        <v>364</v>
      </c>
      <c r="C160" s="412">
        <v>30</v>
      </c>
      <c r="D160" s="419">
        <v>14</v>
      </c>
      <c r="E160" s="413">
        <v>8</v>
      </c>
      <c r="F160" s="412">
        <f t="shared" ref="F160:F166" si="2">E160*C160*D160</f>
        <v>3360</v>
      </c>
    </row>
    <row r="161" spans="1:6" ht="15" thickBot="1" x14ac:dyDescent="0.35">
      <c r="B161" s="411" t="s">
        <v>364</v>
      </c>
      <c r="C161" s="412">
        <v>35</v>
      </c>
      <c r="D161" s="419">
        <v>3</v>
      </c>
      <c r="E161" s="413">
        <v>8</v>
      </c>
      <c r="F161" s="412">
        <f t="shared" si="2"/>
        <v>840</v>
      </c>
    </row>
    <row r="162" spans="1:6" ht="15" thickBot="1" x14ac:dyDescent="0.35">
      <c r="B162" s="411" t="s">
        <v>361</v>
      </c>
      <c r="C162" s="467">
        <v>6.5</v>
      </c>
      <c r="D162" s="419">
        <v>27</v>
      </c>
      <c r="E162" s="413">
        <v>8</v>
      </c>
      <c r="F162" s="412">
        <f t="shared" si="2"/>
        <v>1404</v>
      </c>
    </row>
    <row r="163" spans="1:6" ht="15" thickBot="1" x14ac:dyDescent="0.35">
      <c r="B163" s="411" t="s">
        <v>362</v>
      </c>
      <c r="C163" s="412">
        <v>5</v>
      </c>
      <c r="D163" s="419">
        <v>27</v>
      </c>
      <c r="E163" s="413">
        <v>8</v>
      </c>
      <c r="F163" s="412">
        <f t="shared" si="2"/>
        <v>1080</v>
      </c>
    </row>
    <row r="164" spans="1:6" ht="15" thickBot="1" x14ac:dyDescent="0.35">
      <c r="B164" s="411" t="s">
        <v>363</v>
      </c>
      <c r="C164" s="412"/>
      <c r="D164" s="419"/>
      <c r="E164" s="471"/>
      <c r="F164" s="412">
        <v>416</v>
      </c>
    </row>
    <row r="165" spans="1:6" ht="15" thickBot="1" x14ac:dyDescent="0.35">
      <c r="B165" s="414" t="s">
        <v>285</v>
      </c>
      <c r="C165" s="467">
        <v>2.5</v>
      </c>
      <c r="D165" s="419">
        <v>45</v>
      </c>
      <c r="E165" s="413">
        <v>8</v>
      </c>
      <c r="F165" s="412">
        <f t="shared" si="2"/>
        <v>900</v>
      </c>
    </row>
    <row r="166" spans="1:6" ht="21" customHeight="1" thickBot="1" x14ac:dyDescent="0.35">
      <c r="B166" s="414" t="s">
        <v>254</v>
      </c>
      <c r="C166" s="412">
        <v>100</v>
      </c>
      <c r="D166" s="413">
        <v>1</v>
      </c>
      <c r="E166" s="413">
        <v>8</v>
      </c>
      <c r="F166" s="412">
        <f t="shared" si="2"/>
        <v>800</v>
      </c>
    </row>
    <row r="167" spans="1:6" ht="15" thickBot="1" x14ac:dyDescent="0.35">
      <c r="B167" s="415" t="s">
        <v>30</v>
      </c>
      <c r="C167" s="416"/>
      <c r="D167" s="416"/>
      <c r="E167" s="416"/>
      <c r="F167" s="412">
        <f>SUM(F158:F165)</f>
        <v>20000</v>
      </c>
    </row>
    <row r="168" spans="1:6" ht="15" thickBot="1" x14ac:dyDescent="0.35">
      <c r="B168" s="624"/>
      <c r="C168" s="624"/>
      <c r="D168" s="624"/>
      <c r="E168" s="624"/>
      <c r="F168" s="625"/>
    </row>
    <row r="169" spans="1:6" x14ac:dyDescent="0.3">
      <c r="B169" s="478"/>
      <c r="C169" s="478"/>
      <c r="D169" s="478"/>
      <c r="E169" s="478"/>
      <c r="F169" s="512"/>
    </row>
    <row r="170" spans="1:6" x14ac:dyDescent="0.3">
      <c r="B170" s="478" t="s">
        <v>449</v>
      </c>
      <c r="C170" s="478"/>
      <c r="D170" s="478"/>
      <c r="E170" s="478"/>
      <c r="F170" s="512"/>
    </row>
    <row r="171" spans="1:6" x14ac:dyDescent="0.3">
      <c r="B171" s="478"/>
      <c r="C171" s="478"/>
      <c r="D171" s="478"/>
      <c r="E171" s="478"/>
      <c r="F171" s="512"/>
    </row>
    <row r="172" spans="1:6" x14ac:dyDescent="0.3">
      <c r="B172" s="480" t="s">
        <v>450</v>
      </c>
      <c r="C172" s="480" t="s">
        <v>451</v>
      </c>
      <c r="D172" s="478"/>
      <c r="E172" s="478"/>
      <c r="F172" s="512"/>
    </row>
    <row r="173" spans="1:6" x14ac:dyDescent="0.3">
      <c r="A173" s="591"/>
      <c r="B173" s="488" t="s">
        <v>452</v>
      </c>
      <c r="C173" s="488">
        <v>14000</v>
      </c>
      <c r="D173" s="478"/>
      <c r="E173" s="478"/>
      <c r="F173" s="512"/>
    </row>
    <row r="174" spans="1:6" x14ac:dyDescent="0.3">
      <c r="A174" s="591"/>
      <c r="B174" s="488" t="s">
        <v>453</v>
      </c>
      <c r="C174" s="488">
        <v>20000</v>
      </c>
      <c r="D174" s="478"/>
      <c r="E174" s="478"/>
      <c r="F174" s="512"/>
    </row>
    <row r="175" spans="1:6" x14ac:dyDescent="0.3">
      <c r="A175" s="591"/>
      <c r="B175" s="488" t="s">
        <v>454</v>
      </c>
      <c r="C175" s="488">
        <v>15000</v>
      </c>
      <c r="D175" s="478"/>
      <c r="E175" s="478"/>
      <c r="F175" s="512"/>
    </row>
    <row r="176" spans="1:6" x14ac:dyDescent="0.3">
      <c r="A176" s="591"/>
      <c r="B176" s="488" t="s">
        <v>455</v>
      </c>
      <c r="C176" s="488">
        <v>20000</v>
      </c>
      <c r="D176" s="478"/>
      <c r="E176" s="478"/>
      <c r="F176" s="512"/>
    </row>
    <row r="177" spans="1:6" x14ac:dyDescent="0.3">
      <c r="A177" s="591"/>
      <c r="B177" s="488" t="s">
        <v>456</v>
      </c>
      <c r="C177" s="488">
        <v>10000</v>
      </c>
      <c r="D177" s="478"/>
      <c r="E177" s="478"/>
      <c r="F177" s="512"/>
    </row>
    <row r="178" spans="1:6" x14ac:dyDescent="0.3">
      <c r="A178" s="591"/>
      <c r="B178" s="488" t="s">
        <v>457</v>
      </c>
      <c r="C178" s="488">
        <v>30000</v>
      </c>
      <c r="D178" s="478"/>
      <c r="E178" s="478"/>
      <c r="F178" s="512"/>
    </row>
    <row r="179" spans="1:6" x14ac:dyDescent="0.3">
      <c r="A179" s="591"/>
      <c r="B179" s="488" t="s">
        <v>458</v>
      </c>
      <c r="C179" s="488">
        <v>40000</v>
      </c>
      <c r="D179" s="478"/>
      <c r="E179" s="478"/>
      <c r="F179" s="512"/>
    </row>
    <row r="180" spans="1:6" x14ac:dyDescent="0.3">
      <c r="A180" s="591"/>
      <c r="B180" s="488" t="s">
        <v>459</v>
      </c>
      <c r="C180" s="488">
        <v>60000</v>
      </c>
      <c r="D180" s="478"/>
      <c r="E180" s="478"/>
      <c r="F180" s="512"/>
    </row>
    <row r="181" spans="1:6" x14ac:dyDescent="0.3">
      <c r="B181" s="480" t="s">
        <v>30</v>
      </c>
      <c r="C181" s="480">
        <f>SUM(C173:C180)</f>
        <v>209000</v>
      </c>
      <c r="D181" s="478"/>
      <c r="E181" s="478"/>
      <c r="F181" s="512"/>
    </row>
    <row r="182" spans="1:6" x14ac:dyDescent="0.3">
      <c r="B182" s="478"/>
      <c r="C182" s="478"/>
      <c r="D182" s="478"/>
      <c r="E182" s="478"/>
      <c r="F182" s="512"/>
    </row>
    <row r="183" spans="1:6" x14ac:dyDescent="0.3">
      <c r="B183" s="764" t="s">
        <v>185</v>
      </c>
      <c r="C183" s="765"/>
      <c r="D183" s="765"/>
      <c r="E183" s="765"/>
      <c r="F183" s="765"/>
    </row>
    <row r="184" spans="1:6" ht="17.399999999999999" customHeight="1" x14ac:dyDescent="0.3">
      <c r="B184" s="762" t="s">
        <v>535</v>
      </c>
      <c r="C184" s="763"/>
      <c r="D184" s="763"/>
      <c r="E184" s="763"/>
      <c r="F184" s="763"/>
    </row>
    <row r="185" spans="1:6" x14ac:dyDescent="0.3">
      <c r="B185" s="785" t="s">
        <v>290</v>
      </c>
      <c r="C185" s="785"/>
      <c r="D185" s="785"/>
      <c r="E185" s="785"/>
      <c r="F185" s="785"/>
    </row>
    <row r="186" spans="1:6" ht="15" thickBot="1" x14ac:dyDescent="0.35">
      <c r="B186" s="574" t="s">
        <v>288</v>
      </c>
      <c r="C186" s="574"/>
      <c r="D186" s="574"/>
      <c r="E186" s="574"/>
      <c r="F186" s="574"/>
    </row>
    <row r="187" spans="1:6" ht="15" thickBot="1" x14ac:dyDescent="0.35">
      <c r="B187" s="409" t="s">
        <v>247</v>
      </c>
      <c r="C187" s="410" t="s">
        <v>248</v>
      </c>
      <c r="D187" s="410" t="s">
        <v>252</v>
      </c>
      <c r="E187" s="410" t="s">
        <v>253</v>
      </c>
      <c r="F187" s="410" t="s">
        <v>250</v>
      </c>
    </row>
    <row r="188" spans="1:6" ht="15" thickBot="1" x14ac:dyDescent="0.35">
      <c r="B188" s="411" t="s">
        <v>291</v>
      </c>
      <c r="C188" s="412">
        <v>150</v>
      </c>
      <c r="D188" s="472">
        <v>1</v>
      </c>
      <c r="E188" s="413">
        <v>48</v>
      </c>
      <c r="F188" s="412">
        <f>E188*C188*D188</f>
        <v>7200</v>
      </c>
    </row>
    <row r="189" spans="1:6" ht="15" thickBot="1" x14ac:dyDescent="0.35">
      <c r="B189" s="411" t="s">
        <v>292</v>
      </c>
      <c r="C189" s="504">
        <v>120</v>
      </c>
      <c r="D189" s="472">
        <v>2</v>
      </c>
      <c r="E189" s="413">
        <v>40</v>
      </c>
      <c r="F189" s="412">
        <f>E189*C189*D189</f>
        <v>9600</v>
      </c>
    </row>
    <row r="190" spans="1:6" ht="15" thickBot="1" x14ac:dyDescent="0.35">
      <c r="B190" s="411" t="s">
        <v>426</v>
      </c>
      <c r="C190" s="504">
        <v>45</v>
      </c>
      <c r="D190" s="472">
        <v>2</v>
      </c>
      <c r="E190" s="413">
        <v>10</v>
      </c>
      <c r="F190" s="412">
        <f>E190*C190*D190</f>
        <v>900</v>
      </c>
    </row>
    <row r="191" spans="1:6" ht="15" thickBot="1" x14ac:dyDescent="0.35">
      <c r="B191" s="415" t="s">
        <v>293</v>
      </c>
      <c r="C191" s="412"/>
      <c r="D191" s="472"/>
      <c r="E191" s="413"/>
      <c r="F191" s="412"/>
    </row>
    <row r="192" spans="1:6" ht="15" thickBot="1" x14ac:dyDescent="0.35">
      <c r="B192" s="411" t="s">
        <v>285</v>
      </c>
      <c r="C192" s="467">
        <v>2.5</v>
      </c>
      <c r="D192" s="472">
        <v>25</v>
      </c>
      <c r="E192" s="419">
        <v>1</v>
      </c>
      <c r="F192" s="412">
        <f>E192*C192*D192</f>
        <v>62.5</v>
      </c>
    </row>
    <row r="193" spans="1:7" ht="24.75" customHeight="1" thickBot="1" x14ac:dyDescent="0.35">
      <c r="B193" s="414" t="s">
        <v>294</v>
      </c>
      <c r="C193" s="412">
        <v>6</v>
      </c>
      <c r="D193" s="472">
        <v>25</v>
      </c>
      <c r="E193" s="413">
        <v>1</v>
      </c>
      <c r="F193" s="412">
        <f>E193*C193*D193</f>
        <v>150</v>
      </c>
    </row>
    <row r="194" spans="1:7" ht="24" customHeight="1" thickBot="1" x14ac:dyDescent="0.35">
      <c r="B194" s="494" t="s">
        <v>30</v>
      </c>
      <c r="C194" s="424"/>
      <c r="D194" s="424"/>
      <c r="E194" s="424"/>
      <c r="F194" s="425">
        <f>SUM(F188:F193)</f>
        <v>17912.5</v>
      </c>
    </row>
    <row r="195" spans="1:7" x14ac:dyDescent="0.3">
      <c r="A195" s="485"/>
      <c r="B195" s="478"/>
      <c r="C195" s="478"/>
      <c r="D195" s="478"/>
      <c r="E195" s="478"/>
      <c r="F195" s="479"/>
    </row>
    <row r="196" spans="1:7" x14ac:dyDescent="0.3">
      <c r="A196" s="485"/>
      <c r="B196" s="478" t="s">
        <v>368</v>
      </c>
      <c r="C196" s="478"/>
      <c r="D196" s="478"/>
      <c r="E196" s="478"/>
      <c r="F196" s="479"/>
    </row>
    <row r="197" spans="1:7" x14ac:dyDescent="0.3">
      <c r="A197" s="485"/>
      <c r="B197" s="478" t="s">
        <v>186</v>
      </c>
      <c r="C197" s="478"/>
      <c r="D197" s="478"/>
      <c r="E197" s="478"/>
      <c r="F197" s="479"/>
    </row>
    <row r="198" spans="1:7" ht="17.399999999999999" customHeight="1" thickBot="1" x14ac:dyDescent="0.35">
      <c r="B198" s="780" t="s">
        <v>524</v>
      </c>
      <c r="C198" s="781"/>
      <c r="D198" s="781"/>
      <c r="E198" s="781"/>
      <c r="F198" s="781"/>
    </row>
    <row r="199" spans="1:7" ht="15.6" customHeight="1" thickBot="1" x14ac:dyDescent="0.35">
      <c r="B199" s="409" t="s">
        <v>247</v>
      </c>
      <c r="C199" s="410" t="s">
        <v>248</v>
      </c>
      <c r="D199" s="410" t="s">
        <v>252</v>
      </c>
      <c r="E199" s="410" t="s">
        <v>253</v>
      </c>
      <c r="F199" s="410" t="s">
        <v>250</v>
      </c>
    </row>
    <row r="200" spans="1:7" ht="15.6" customHeight="1" thickBot="1" x14ac:dyDescent="0.35">
      <c r="B200" s="411" t="s">
        <v>532</v>
      </c>
      <c r="C200" s="412">
        <v>150</v>
      </c>
      <c r="D200" s="472">
        <v>1</v>
      </c>
      <c r="E200" s="472">
        <v>25</v>
      </c>
      <c r="F200" s="412">
        <f>E200*C200*D200</f>
        <v>3750</v>
      </c>
    </row>
    <row r="201" spans="1:7" ht="15.6" customHeight="1" thickBot="1" x14ac:dyDescent="0.35">
      <c r="B201" s="411" t="s">
        <v>531</v>
      </c>
      <c r="C201" s="412"/>
      <c r="D201" s="472"/>
      <c r="E201" s="472"/>
      <c r="F201" s="412">
        <v>1000</v>
      </c>
    </row>
    <row r="202" spans="1:7" ht="15" thickBot="1" x14ac:dyDescent="0.35">
      <c r="B202" s="423" t="s">
        <v>30</v>
      </c>
      <c r="C202" s="424"/>
      <c r="D202" s="424"/>
      <c r="E202" s="424"/>
      <c r="F202" s="425">
        <f>SUM(F200:F201)</f>
        <v>4750</v>
      </c>
    </row>
    <row r="203" spans="1:7" x14ac:dyDescent="0.3">
      <c r="B203" s="542"/>
      <c r="C203" s="542"/>
      <c r="D203" s="542"/>
      <c r="E203" s="542"/>
      <c r="F203" s="543"/>
    </row>
    <row r="204" spans="1:7" ht="19.350000000000001" customHeight="1" x14ac:dyDescent="0.3">
      <c r="B204" s="505" t="s">
        <v>556</v>
      </c>
      <c r="C204" s="478"/>
      <c r="D204" s="478"/>
      <c r="E204" s="478"/>
      <c r="F204" s="482"/>
      <c r="G204" s="485"/>
    </row>
    <row r="205" spans="1:7" ht="22.8" customHeight="1" x14ac:dyDescent="0.3">
      <c r="B205" s="488" t="s">
        <v>380</v>
      </c>
      <c r="C205" s="480" t="s">
        <v>507</v>
      </c>
      <c r="D205" s="487" t="s">
        <v>508</v>
      </c>
      <c r="E205" s="480" t="s">
        <v>370</v>
      </c>
      <c r="F205" s="538" t="s">
        <v>250</v>
      </c>
      <c r="G205" s="485"/>
    </row>
    <row r="206" spans="1:7" ht="23.4" customHeight="1" x14ac:dyDescent="0.3">
      <c r="B206" s="490" t="s">
        <v>558</v>
      </c>
      <c r="C206" s="480">
        <v>8</v>
      </c>
      <c r="D206" s="480">
        <v>1</v>
      </c>
      <c r="E206" s="480">
        <f>(450*8*530/1000)+(118*3)</f>
        <v>2262</v>
      </c>
      <c r="F206" s="538">
        <f>E206*D206*C206</f>
        <v>18096</v>
      </c>
      <c r="G206" s="485"/>
    </row>
    <row r="207" spans="1:7" ht="31.8" customHeight="1" x14ac:dyDescent="0.3">
      <c r="B207" s="490" t="s">
        <v>557</v>
      </c>
      <c r="C207" s="480">
        <v>4</v>
      </c>
      <c r="D207" s="480">
        <v>1</v>
      </c>
      <c r="E207" s="480">
        <f>150*10</f>
        <v>1500</v>
      </c>
      <c r="F207" s="538">
        <f>E207*D207*C207</f>
        <v>6000</v>
      </c>
      <c r="G207" s="485"/>
    </row>
    <row r="208" spans="1:7" ht="19.350000000000001" customHeight="1" x14ac:dyDescent="0.3">
      <c r="B208" s="480" t="s">
        <v>17</v>
      </c>
      <c r="C208" s="480"/>
      <c r="D208" s="480"/>
      <c r="E208" s="480"/>
      <c r="F208" s="538">
        <f>SUM(F206:F207)</f>
        <v>24096</v>
      </c>
      <c r="G208" s="485"/>
    </row>
    <row r="209" spans="2:7" ht="19.350000000000001" customHeight="1" x14ac:dyDescent="0.3">
      <c r="B209" s="480" t="s">
        <v>509</v>
      </c>
      <c r="C209" s="480"/>
      <c r="D209" s="480"/>
      <c r="E209" s="480"/>
      <c r="F209" s="614">
        <f>F208/6</f>
        <v>4016</v>
      </c>
      <c r="G209" s="485"/>
    </row>
    <row r="210" spans="2:7" x14ac:dyDescent="0.3">
      <c r="B210" s="478"/>
      <c r="C210" s="478"/>
      <c r="D210" s="478"/>
      <c r="E210" s="478"/>
      <c r="F210" s="479"/>
    </row>
    <row r="211" spans="2:7" ht="19.350000000000001" customHeight="1" x14ac:dyDescent="0.3">
      <c r="B211" s="505" t="s">
        <v>511</v>
      </c>
      <c r="C211" s="478"/>
      <c r="D211" s="478"/>
      <c r="E211" s="478"/>
      <c r="F211" s="482"/>
      <c r="G211" s="485"/>
    </row>
    <row r="212" spans="2:7" ht="22.8" customHeight="1" x14ac:dyDescent="0.3">
      <c r="B212" s="488" t="s">
        <v>380</v>
      </c>
      <c r="C212" s="480" t="s">
        <v>507</v>
      </c>
      <c r="D212" s="487" t="s">
        <v>508</v>
      </c>
      <c r="E212" s="480" t="s">
        <v>370</v>
      </c>
      <c r="F212" s="538" t="s">
        <v>250</v>
      </c>
      <c r="G212" s="485"/>
    </row>
    <row r="213" spans="2:7" ht="19.350000000000001" customHeight="1" x14ac:dyDescent="0.3">
      <c r="B213" s="488" t="s">
        <v>505</v>
      </c>
      <c r="C213" s="480">
        <v>12</v>
      </c>
      <c r="D213" s="480">
        <v>27</v>
      </c>
      <c r="E213" s="480">
        <v>350</v>
      </c>
      <c r="F213" s="538">
        <f>E213*D213*C213</f>
        <v>113400</v>
      </c>
      <c r="G213" s="485"/>
    </row>
    <row r="214" spans="2:7" ht="19.350000000000001" customHeight="1" x14ac:dyDescent="0.3">
      <c r="B214" s="488" t="s">
        <v>506</v>
      </c>
      <c r="C214" s="480">
        <v>8</v>
      </c>
      <c r="D214" s="480">
        <v>135</v>
      </c>
      <c r="E214" s="480">
        <v>20</v>
      </c>
      <c r="F214" s="538">
        <f>E214*D214*C214</f>
        <v>21600</v>
      </c>
      <c r="G214" s="485"/>
    </row>
    <row r="215" spans="2:7" ht="19.350000000000001" customHeight="1" x14ac:dyDescent="0.3">
      <c r="B215" s="480" t="s">
        <v>17</v>
      </c>
      <c r="C215" s="480"/>
      <c r="D215" s="480"/>
      <c r="E215" s="480"/>
      <c r="F215" s="538">
        <f>SUM(F214)</f>
        <v>21600</v>
      </c>
      <c r="G215" s="485"/>
    </row>
    <row r="216" spans="2:7" ht="19.350000000000001" customHeight="1" x14ac:dyDescent="0.3">
      <c r="B216" s="480" t="s">
        <v>509</v>
      </c>
      <c r="C216" s="480"/>
      <c r="D216" s="480"/>
      <c r="E216" s="480"/>
      <c r="F216" s="614">
        <f>F215/12</f>
        <v>1800</v>
      </c>
      <c r="G216" s="485"/>
    </row>
    <row r="217" spans="2:7" x14ac:dyDescent="0.3">
      <c r="B217" s="597"/>
      <c r="C217" s="478"/>
      <c r="D217" s="478"/>
      <c r="E217" s="478"/>
      <c r="F217" s="479"/>
    </row>
    <row r="218" spans="2:7" ht="43.2" x14ac:dyDescent="0.3">
      <c r="B218" s="446" t="s">
        <v>462</v>
      </c>
      <c r="C218" s="478"/>
      <c r="D218" s="478"/>
      <c r="E218" s="478"/>
      <c r="F218" s="479"/>
    </row>
    <row r="219" spans="2:7" x14ac:dyDescent="0.3">
      <c r="B219" s="478" t="s">
        <v>334</v>
      </c>
      <c r="C219" s="478" t="s">
        <v>250</v>
      </c>
      <c r="D219" s="478"/>
      <c r="E219" s="478"/>
      <c r="F219" s="479"/>
    </row>
    <row r="220" spans="2:7" s="638" customFormat="1" ht="28.8" x14ac:dyDescent="0.3">
      <c r="B220" s="446" t="s">
        <v>461</v>
      </c>
      <c r="C220" s="25">
        <f>((1800000)+(1800000*0.164)+(35000)+(40000))/1000</f>
        <v>2170.1999999999998</v>
      </c>
      <c r="D220" s="484"/>
      <c r="E220" s="484"/>
      <c r="F220" s="637"/>
    </row>
    <row r="221" spans="2:7" s="638" customFormat="1" ht="28.8" x14ac:dyDescent="0.3">
      <c r="B221" s="446" t="s">
        <v>407</v>
      </c>
      <c r="C221" s="25">
        <f>((1200000)+(1200000*0.164)+(20000)+(40000))/1000</f>
        <v>1456.8</v>
      </c>
      <c r="D221" s="484"/>
      <c r="E221" s="484"/>
      <c r="F221" s="637"/>
    </row>
    <row r="222" spans="2:7" x14ac:dyDescent="0.3">
      <c r="B222" s="478" t="s">
        <v>17</v>
      </c>
      <c r="C222" s="596">
        <f>SUM(C220:C221)</f>
        <v>3627</v>
      </c>
      <c r="D222" s="478"/>
      <c r="E222" s="478"/>
      <c r="F222" s="479"/>
    </row>
    <row r="223" spans="2:7" x14ac:dyDescent="0.3">
      <c r="B223" s="478"/>
      <c r="C223" s="478"/>
      <c r="D223" s="478"/>
      <c r="E223" s="478"/>
      <c r="F223" s="479"/>
    </row>
    <row r="224" spans="2:7" ht="43.2" x14ac:dyDescent="0.3">
      <c r="B224" s="446" t="s">
        <v>462</v>
      </c>
      <c r="C224" s="478"/>
      <c r="D224" s="478"/>
      <c r="E224" s="478"/>
      <c r="F224" s="479"/>
    </row>
    <row r="225" spans="2:6" x14ac:dyDescent="0.3">
      <c r="B225" s="478" t="s">
        <v>334</v>
      </c>
      <c r="C225" s="478" t="s">
        <v>250</v>
      </c>
      <c r="D225" s="478"/>
      <c r="E225" s="478"/>
      <c r="F225" s="479"/>
    </row>
    <row r="226" spans="2:6" ht="28.8" x14ac:dyDescent="0.3">
      <c r="B226" s="446" t="s">
        <v>408</v>
      </c>
      <c r="C226" s="25">
        <f>((1550000)+(1550000*0.164)+(30000)+(40000))/1000</f>
        <v>1874.2</v>
      </c>
      <c r="D226" s="478"/>
      <c r="E226" s="478"/>
      <c r="F226" s="479"/>
    </row>
    <row r="227" spans="2:6" ht="28.8" x14ac:dyDescent="0.3">
      <c r="B227" s="446" t="s">
        <v>409</v>
      </c>
      <c r="C227" s="25">
        <f>((1200000)+(1200000*0.164)+(20000)+(40000))/1000</f>
        <v>1456.8</v>
      </c>
      <c r="D227" s="478"/>
      <c r="E227" s="478"/>
      <c r="F227" s="479"/>
    </row>
    <row r="228" spans="2:6" ht="28.8" x14ac:dyDescent="0.3">
      <c r="B228" s="446" t="s">
        <v>410</v>
      </c>
      <c r="C228" s="25">
        <f>((1200000)+(1200000*0.164)+(20000)+(40000))/1000</f>
        <v>1456.8</v>
      </c>
      <c r="D228" s="478"/>
      <c r="E228" s="478"/>
      <c r="F228" s="479"/>
    </row>
    <row r="229" spans="2:6" ht="28.8" x14ac:dyDescent="0.3">
      <c r="B229" s="446" t="s">
        <v>561</v>
      </c>
      <c r="C229" s="25">
        <f>((1200000)+(1200000*0.164)+(20000)+(40000))/1000</f>
        <v>1456.8</v>
      </c>
      <c r="D229" s="478"/>
      <c r="E229" s="478"/>
      <c r="F229" s="479"/>
    </row>
    <row r="230" spans="2:6" ht="43.2" x14ac:dyDescent="0.3">
      <c r="B230" s="446" t="s">
        <v>562</v>
      </c>
      <c r="C230" s="25">
        <f>((1200000)+(1200000*0.164)+(20000)+(40000))/1000</f>
        <v>1456.8</v>
      </c>
      <c r="D230" s="478"/>
      <c r="E230" s="478"/>
      <c r="F230" s="479"/>
    </row>
    <row r="231" spans="2:6" ht="28.8" x14ac:dyDescent="0.3">
      <c r="B231" s="446" t="s">
        <v>412</v>
      </c>
      <c r="C231" s="25">
        <f>((650000)+(650000*0.164)+(10000)+(40000))/1000</f>
        <v>806.6</v>
      </c>
      <c r="D231" s="478"/>
      <c r="E231" s="478"/>
      <c r="F231" s="479"/>
    </row>
    <row r="232" spans="2:6" ht="28.8" x14ac:dyDescent="0.3">
      <c r="B232" s="446" t="s">
        <v>413</v>
      </c>
      <c r="C232" s="25">
        <f>((500000)+(500000*0.164)+(8000)+(40000))/1000</f>
        <v>630</v>
      </c>
      <c r="D232" s="478"/>
      <c r="E232" s="478"/>
      <c r="F232" s="479"/>
    </row>
    <row r="233" spans="2:6" ht="28.8" x14ac:dyDescent="0.3">
      <c r="B233" s="446" t="s">
        <v>503</v>
      </c>
      <c r="C233" s="25">
        <v>250</v>
      </c>
      <c r="D233" s="478"/>
      <c r="E233" s="478"/>
      <c r="F233" s="479"/>
    </row>
    <row r="234" spans="2:6" x14ac:dyDescent="0.3">
      <c r="B234" s="478" t="s">
        <v>17</v>
      </c>
      <c r="C234" s="596">
        <f>SUM(C226:C233)</f>
        <v>9388</v>
      </c>
      <c r="D234" s="478"/>
      <c r="E234" s="478"/>
      <c r="F234" s="479"/>
    </row>
    <row r="235" spans="2:6" x14ac:dyDescent="0.3">
      <c r="B235" s="478"/>
      <c r="C235" s="478"/>
      <c r="D235" s="478"/>
      <c r="E235" s="478"/>
      <c r="F235" s="479"/>
    </row>
    <row r="236" spans="2:6" x14ac:dyDescent="0.3">
      <c r="B236" s="478" t="s">
        <v>334</v>
      </c>
      <c r="C236" s="478" t="s">
        <v>250</v>
      </c>
      <c r="D236" s="478"/>
      <c r="E236" s="478"/>
      <c r="F236" s="479"/>
    </row>
    <row r="237" spans="2:6" ht="28.8" x14ac:dyDescent="0.3">
      <c r="B237" s="446" t="s">
        <v>419</v>
      </c>
      <c r="C237" s="25">
        <f>((1500000)+(1500000*0.164)+(20000)+(40000))/1000</f>
        <v>1806</v>
      </c>
      <c r="D237" s="478"/>
      <c r="E237" s="478"/>
      <c r="F237" s="479"/>
    </row>
    <row r="238" spans="2:6" ht="43.2" x14ac:dyDescent="0.3">
      <c r="B238" s="446" t="s">
        <v>564</v>
      </c>
      <c r="C238" s="25">
        <f>((1100000)+(1100000*0.164)+(15000)+(40000))/1000</f>
        <v>1335.4</v>
      </c>
      <c r="D238" s="478"/>
      <c r="E238" s="478"/>
      <c r="F238" s="479"/>
    </row>
    <row r="239" spans="2:6" ht="28.8" x14ac:dyDescent="0.3">
      <c r="B239" s="446" t="s">
        <v>414</v>
      </c>
      <c r="C239" s="25">
        <f>((1000000)+(1000000*0.164)+(10000)+(40000))/1000</f>
        <v>1214</v>
      </c>
      <c r="D239" s="478"/>
      <c r="E239" s="478"/>
      <c r="F239" s="479"/>
    </row>
    <row r="240" spans="2:6" ht="28.8" x14ac:dyDescent="0.3">
      <c r="B240" s="446" t="s">
        <v>415</v>
      </c>
      <c r="C240" s="25">
        <f>((1000000)+(1000000*0.164)+(10000)+(40000))/1000</f>
        <v>1214</v>
      </c>
      <c r="D240" s="478"/>
      <c r="E240" s="478"/>
      <c r="F240" s="479"/>
    </row>
    <row r="241" spans="2:6" ht="28.8" x14ac:dyDescent="0.3">
      <c r="B241" s="446" t="s">
        <v>418</v>
      </c>
      <c r="C241" s="25">
        <f>((1150000)+(1150000*0.164)+(15000)+(40000))/1000</f>
        <v>1393.6</v>
      </c>
      <c r="D241" s="478"/>
      <c r="E241" s="478"/>
      <c r="F241" s="479"/>
    </row>
    <row r="242" spans="2:6" ht="28.8" x14ac:dyDescent="0.3">
      <c r="B242" s="446" t="s">
        <v>417</v>
      </c>
      <c r="C242" s="25">
        <f>((945000)+(945000*0.164)+(8000)+(40000))/1000</f>
        <v>1147.98</v>
      </c>
      <c r="D242" s="478"/>
      <c r="E242" s="478"/>
      <c r="F242" s="479"/>
    </row>
    <row r="243" spans="2:6" ht="28.8" x14ac:dyDescent="0.3">
      <c r="B243" s="446" t="s">
        <v>420</v>
      </c>
      <c r="C243" s="25">
        <f>((500000)+(500000*0.164)+(8000)+(40000))/1000</f>
        <v>630</v>
      </c>
      <c r="D243" s="478"/>
      <c r="E243" s="478"/>
      <c r="F243" s="479"/>
    </row>
    <row r="244" spans="2:6" ht="28.8" x14ac:dyDescent="0.3">
      <c r="B244" s="446" t="s">
        <v>411</v>
      </c>
      <c r="C244" s="25">
        <f>((900000)+(900000*0.164)+(8000)+(40000))/1000</f>
        <v>1095.5999999999999</v>
      </c>
      <c r="D244" s="478"/>
      <c r="E244" s="478"/>
      <c r="F244" s="479"/>
    </row>
    <row r="245" spans="2:6" x14ac:dyDescent="0.3">
      <c r="B245" s="478" t="s">
        <v>17</v>
      </c>
      <c r="C245" s="596">
        <f>SUM(C237:C244)</f>
        <v>9836.58</v>
      </c>
      <c r="D245" s="478"/>
      <c r="E245" s="478"/>
      <c r="F245" s="479"/>
    </row>
    <row r="246" spans="2:6" x14ac:dyDescent="0.3">
      <c r="B246" s="478"/>
      <c r="C246" s="596"/>
      <c r="D246" s="478"/>
      <c r="E246" s="478"/>
      <c r="F246" s="479"/>
    </row>
    <row r="247" spans="2:6" x14ac:dyDescent="0.3">
      <c r="B247" s="478" t="s">
        <v>247</v>
      </c>
      <c r="C247" s="478" t="s">
        <v>250</v>
      </c>
      <c r="D247" s="478"/>
      <c r="E247" s="478"/>
      <c r="F247" s="479"/>
    </row>
    <row r="248" spans="2:6" ht="43.2" x14ac:dyDescent="0.3">
      <c r="B248" s="446" t="s">
        <v>566</v>
      </c>
      <c r="C248" s="25">
        <f>((1100000)+(1100000*0.164)+(15000)+(40000))/1000</f>
        <v>1335.4</v>
      </c>
      <c r="D248" s="478"/>
      <c r="E248" s="478"/>
      <c r="F248" s="479"/>
    </row>
    <row r="249" spans="2:6" ht="43.2" x14ac:dyDescent="0.3">
      <c r="B249" s="446" t="s">
        <v>416</v>
      </c>
      <c r="C249" s="25">
        <f>((945000)+(945000*0.164)+(8000)+(40000))/1000</f>
        <v>1147.98</v>
      </c>
      <c r="D249" s="478"/>
      <c r="E249" s="478"/>
      <c r="F249" s="479"/>
    </row>
    <row r="250" spans="2:6" ht="23.4" customHeight="1" x14ac:dyDescent="0.3">
      <c r="B250" s="593" t="s">
        <v>488</v>
      </c>
      <c r="C250" s="25" t="s">
        <v>489</v>
      </c>
      <c r="D250" s="478"/>
      <c r="E250" s="478"/>
      <c r="F250" s="479"/>
    </row>
    <row r="251" spans="2:6" x14ac:dyDescent="0.3">
      <c r="B251" s="114" t="s">
        <v>17</v>
      </c>
      <c r="C251" s="617">
        <f>SUM(C248:C250)</f>
        <v>2483.38</v>
      </c>
      <c r="D251" s="478"/>
      <c r="E251" s="478"/>
      <c r="F251" s="479"/>
    </row>
    <row r="252" spans="2:6" x14ac:dyDescent="0.3">
      <c r="B252" s="592"/>
      <c r="C252" s="598"/>
      <c r="D252" s="478"/>
      <c r="E252" s="478"/>
      <c r="F252" s="479"/>
    </row>
    <row r="253" spans="2:6" ht="15" thickBot="1" x14ac:dyDescent="0.35"/>
    <row r="254" spans="2:6" ht="22.2" customHeight="1" thickBot="1" x14ac:dyDescent="0.35">
      <c r="B254" s="756" t="s">
        <v>533</v>
      </c>
      <c r="C254" s="757"/>
      <c r="D254" s="757"/>
      <c r="E254" s="757"/>
      <c r="F254" s="757"/>
    </row>
    <row r="255" spans="2:6" ht="15.6" customHeight="1" thickBot="1" x14ac:dyDescent="0.35">
      <c r="B255" s="409" t="s">
        <v>247</v>
      </c>
      <c r="C255" s="410" t="s">
        <v>248</v>
      </c>
      <c r="D255" s="410" t="s">
        <v>252</v>
      </c>
      <c r="E255" s="410" t="s">
        <v>253</v>
      </c>
      <c r="F255" s="410" t="s">
        <v>250</v>
      </c>
    </row>
    <row r="256" spans="2:6" ht="15.6" customHeight="1" thickBot="1" x14ac:dyDescent="0.35">
      <c r="B256" s="411" t="s">
        <v>378</v>
      </c>
      <c r="C256" s="421">
        <v>150</v>
      </c>
      <c r="D256" s="421">
        <v>1</v>
      </c>
      <c r="E256" s="421">
        <v>50</v>
      </c>
      <c r="F256" s="421">
        <f>E256*C256</f>
        <v>7500</v>
      </c>
    </row>
    <row r="257" spans="2:6" ht="15" thickBot="1" x14ac:dyDescent="0.35">
      <c r="B257" s="423" t="s">
        <v>30</v>
      </c>
      <c r="C257" s="424"/>
      <c r="D257" s="424"/>
      <c r="E257" s="424"/>
      <c r="F257" s="425">
        <f>F256</f>
        <v>7500</v>
      </c>
    </row>
    <row r="259" spans="2:6" ht="28.8" customHeight="1" x14ac:dyDescent="0.3">
      <c r="B259" s="752" t="s">
        <v>208</v>
      </c>
      <c r="C259" s="753"/>
      <c r="D259" s="753"/>
      <c r="E259" s="753"/>
      <c r="F259" s="753"/>
    </row>
    <row r="260" spans="2:6" ht="24.6" customHeight="1" thickBot="1" x14ac:dyDescent="0.35">
      <c r="B260" s="760" t="s">
        <v>538</v>
      </c>
      <c r="C260" s="761"/>
      <c r="D260" s="761"/>
      <c r="E260" s="761"/>
      <c r="F260" s="761"/>
    </row>
    <row r="261" spans="2:6" ht="15.6" customHeight="1" thickBot="1" x14ac:dyDescent="0.35">
      <c r="B261" s="409" t="s">
        <v>247</v>
      </c>
      <c r="C261" s="410" t="s">
        <v>248</v>
      </c>
      <c r="D261" s="410" t="s">
        <v>252</v>
      </c>
      <c r="E261" s="410" t="s">
        <v>253</v>
      </c>
      <c r="F261" s="410" t="s">
        <v>250</v>
      </c>
    </row>
    <row r="262" spans="2:6" ht="15.6" customHeight="1" thickBot="1" x14ac:dyDescent="0.35">
      <c r="B262" s="411" t="s">
        <v>549</v>
      </c>
      <c r="C262" s="412">
        <v>150</v>
      </c>
      <c r="D262" s="472">
        <v>2</v>
      </c>
      <c r="E262" s="472">
        <v>32</v>
      </c>
      <c r="F262" s="412">
        <f>E262*C262*D262</f>
        <v>9600</v>
      </c>
    </row>
    <row r="263" spans="2:6" ht="23.4" customHeight="1" thickBot="1" x14ac:dyDescent="0.35">
      <c r="B263" s="414" t="s">
        <v>536</v>
      </c>
      <c r="C263" s="412">
        <v>150</v>
      </c>
      <c r="D263" s="472">
        <v>1</v>
      </c>
      <c r="E263" s="472">
        <f>10*2</f>
        <v>20</v>
      </c>
      <c r="F263" s="412">
        <f>E263*C263*D263</f>
        <v>3000</v>
      </c>
    </row>
    <row r="264" spans="2:6" ht="37.200000000000003" customHeight="1" thickBot="1" x14ac:dyDescent="0.35">
      <c r="B264" s="414" t="s">
        <v>537</v>
      </c>
      <c r="C264" s="412">
        <f>450*530/1000</f>
        <v>238.5</v>
      </c>
      <c r="D264" s="472">
        <v>1</v>
      </c>
      <c r="E264" s="472">
        <v>10</v>
      </c>
      <c r="F264" s="412">
        <f>E264*C264*D264</f>
        <v>2385</v>
      </c>
    </row>
    <row r="265" spans="2:6" ht="15" thickBot="1" x14ac:dyDescent="0.35">
      <c r="B265" s="423" t="s">
        <v>30</v>
      </c>
      <c r="C265" s="424"/>
      <c r="D265" s="424"/>
      <c r="E265" s="424"/>
      <c r="F265" s="425">
        <f>SUM(F262:F264)</f>
        <v>14985</v>
      </c>
    </row>
    <row r="266" spans="2:6" s="638" customFormat="1" x14ac:dyDescent="0.3">
      <c r="B266" s="484"/>
      <c r="C266" s="484"/>
      <c r="D266" s="484"/>
      <c r="E266" s="484"/>
      <c r="F266" s="637"/>
    </row>
    <row r="267" spans="2:6" s="638" customFormat="1" x14ac:dyDescent="0.3">
      <c r="B267" s="640" t="s">
        <v>618</v>
      </c>
      <c r="C267" s="484"/>
      <c r="D267" s="484"/>
      <c r="E267" s="484"/>
      <c r="F267" s="637"/>
    </row>
    <row r="268" spans="2:6" ht="28.8" x14ac:dyDescent="0.3">
      <c r="B268" s="502" t="s">
        <v>247</v>
      </c>
      <c r="C268" s="515" t="s">
        <v>110</v>
      </c>
      <c r="D268" s="515" t="s">
        <v>370</v>
      </c>
      <c r="E268" s="502" t="s">
        <v>348</v>
      </c>
    </row>
    <row r="269" spans="2:6" x14ac:dyDescent="0.3">
      <c r="B269" s="490" t="s">
        <v>371</v>
      </c>
      <c r="C269" s="83">
        <v>6</v>
      </c>
      <c r="D269" s="83">
        <v>700</v>
      </c>
      <c r="E269" s="491">
        <f>D269*C269</f>
        <v>4200</v>
      </c>
    </row>
    <row r="270" spans="2:6" ht="33" customHeight="1" x14ac:dyDescent="0.3">
      <c r="B270" s="487" t="s">
        <v>30</v>
      </c>
      <c r="C270" s="83"/>
      <c r="D270" s="83"/>
      <c r="E270" s="492">
        <f>SUM(E269:E269)</f>
        <v>4200</v>
      </c>
    </row>
    <row r="272" spans="2:6" ht="15" thickBot="1" x14ac:dyDescent="0.35">
      <c r="B272" s="478" t="s">
        <v>541</v>
      </c>
      <c r="C272" s="478"/>
      <c r="D272" s="478"/>
      <c r="E272" s="478"/>
      <c r="F272" s="479"/>
    </row>
    <row r="273" spans="2:6" ht="15.6" customHeight="1" thickBot="1" x14ac:dyDescent="0.35">
      <c r="B273" s="409" t="s">
        <v>247</v>
      </c>
      <c r="C273" s="410" t="s">
        <v>248</v>
      </c>
      <c r="D273" s="410" t="s">
        <v>252</v>
      </c>
      <c r="E273" s="410" t="s">
        <v>253</v>
      </c>
      <c r="F273" s="410" t="s">
        <v>250</v>
      </c>
    </row>
    <row r="274" spans="2:6" ht="15.6" customHeight="1" thickBot="1" x14ac:dyDescent="0.35">
      <c r="B274" s="411" t="s">
        <v>369</v>
      </c>
      <c r="C274" s="412">
        <f>530*450/1000</f>
        <v>238.5</v>
      </c>
      <c r="D274" s="472">
        <v>1</v>
      </c>
      <c r="E274" s="472">
        <v>25</v>
      </c>
      <c r="F274" s="412">
        <f>E274*C274*D274</f>
        <v>5962.5</v>
      </c>
    </row>
    <row r="275" spans="2:6" ht="15.6" customHeight="1" thickBot="1" x14ac:dyDescent="0.35">
      <c r="B275" s="411" t="s">
        <v>423</v>
      </c>
      <c r="C275" s="412">
        <v>118</v>
      </c>
      <c r="D275" s="472">
        <v>1</v>
      </c>
      <c r="E275" s="472">
        <v>10</v>
      </c>
      <c r="F275" s="412">
        <f>E275*C275*D275</f>
        <v>1180</v>
      </c>
    </row>
    <row r="276" spans="2:6" ht="15" thickBot="1" x14ac:dyDescent="0.35">
      <c r="B276" s="423" t="s">
        <v>30</v>
      </c>
      <c r="C276" s="424"/>
      <c r="D276" s="424"/>
      <c r="E276" s="424"/>
      <c r="F276" s="425">
        <f>SUM(F274:F275)</f>
        <v>7142.5</v>
      </c>
    </row>
    <row r="277" spans="2:6" x14ac:dyDescent="0.3">
      <c r="B277" s="478"/>
      <c r="C277" s="478"/>
      <c r="D277" s="478"/>
      <c r="E277" s="478"/>
      <c r="F277" s="479"/>
    </row>
    <row r="278" spans="2:6" ht="14.4" customHeight="1" x14ac:dyDescent="0.3">
      <c r="B278" s="486" t="s">
        <v>372</v>
      </c>
      <c r="C278" s="485"/>
      <c r="D278" s="485"/>
      <c r="E278" s="516"/>
    </row>
    <row r="279" spans="2:6" ht="31.8" customHeight="1" x14ac:dyDescent="0.3">
      <c r="B279" s="758" t="s">
        <v>467</v>
      </c>
      <c r="C279" s="759"/>
      <c r="D279" s="759"/>
      <c r="E279" s="759"/>
    </row>
    <row r="280" spans="2:6" ht="28.8" x14ac:dyDescent="0.3">
      <c r="B280" s="502" t="s">
        <v>247</v>
      </c>
      <c r="C280" s="515" t="s">
        <v>110</v>
      </c>
      <c r="D280" s="515" t="s">
        <v>370</v>
      </c>
      <c r="E280" s="502" t="s">
        <v>348</v>
      </c>
    </row>
    <row r="281" spans="2:6" ht="28.8" x14ac:dyDescent="0.3">
      <c r="B281" s="490" t="s">
        <v>468</v>
      </c>
      <c r="C281" s="83">
        <v>10</v>
      </c>
      <c r="D281" s="83">
        <v>600</v>
      </c>
      <c r="E281" s="491">
        <f>D281*C281</f>
        <v>6000</v>
      </c>
    </row>
    <row r="282" spans="2:6" x14ac:dyDescent="0.3">
      <c r="B282" s="490" t="s">
        <v>342</v>
      </c>
      <c r="C282" s="83">
        <v>6</v>
      </c>
      <c r="D282" s="83">
        <v>234</v>
      </c>
      <c r="E282" s="491">
        <f>D282*C282</f>
        <v>1404</v>
      </c>
    </row>
    <row r="283" spans="2:6" x14ac:dyDescent="0.3">
      <c r="B283" s="490" t="s">
        <v>469</v>
      </c>
      <c r="C283" s="83">
        <v>4</v>
      </c>
      <c r="D283" s="83">
        <v>450</v>
      </c>
      <c r="E283" s="491">
        <f>D283*C283</f>
        <v>1800</v>
      </c>
    </row>
    <row r="284" spans="2:6" x14ac:dyDescent="0.3">
      <c r="B284" s="487" t="s">
        <v>30</v>
      </c>
      <c r="C284" s="83"/>
      <c r="D284" s="83"/>
      <c r="E284" s="492">
        <f>SUM(E281:E283)</f>
        <v>9204</v>
      </c>
    </row>
    <row r="285" spans="2:6" x14ac:dyDescent="0.3">
      <c r="B285" s="486"/>
      <c r="C285" s="485"/>
      <c r="D285" s="485"/>
      <c r="E285" s="516"/>
    </row>
    <row r="286" spans="2:6" x14ac:dyDescent="0.3">
      <c r="B286" s="533" t="s">
        <v>389</v>
      </c>
    </row>
    <row r="287" spans="2:6" ht="19.350000000000001" customHeight="1" x14ac:dyDescent="0.3">
      <c r="B287" s="764" t="s">
        <v>209</v>
      </c>
      <c r="C287" s="765"/>
      <c r="D287" s="765"/>
      <c r="E287" s="765"/>
    </row>
    <row r="288" spans="2:6" ht="18.600000000000001" customHeight="1" x14ac:dyDescent="0.3">
      <c r="B288" s="762" t="s">
        <v>534</v>
      </c>
      <c r="C288" s="763"/>
      <c r="D288" s="763"/>
      <c r="E288" s="763"/>
    </row>
    <row r="289" spans="2:6" ht="7.8" customHeight="1" thickBot="1" x14ac:dyDescent="0.35"/>
    <row r="290" spans="2:6" ht="15" thickBot="1" x14ac:dyDescent="0.35">
      <c r="B290" s="409" t="s">
        <v>247</v>
      </c>
      <c r="C290" s="410" t="s">
        <v>248</v>
      </c>
      <c r="D290" s="410" t="s">
        <v>249</v>
      </c>
      <c r="E290" s="410" t="s">
        <v>253</v>
      </c>
      <c r="F290" s="410" t="s">
        <v>250</v>
      </c>
    </row>
    <row r="291" spans="2:6" ht="15" thickBot="1" x14ac:dyDescent="0.35">
      <c r="B291" s="411" t="s">
        <v>286</v>
      </c>
      <c r="C291" s="412">
        <v>45</v>
      </c>
      <c r="D291" s="412">
        <v>20</v>
      </c>
      <c r="E291" s="412">
        <v>2</v>
      </c>
      <c r="F291" s="412">
        <f>+E291*C291*D291</f>
        <v>1800</v>
      </c>
    </row>
    <row r="292" spans="2:6" ht="15" thickBot="1" x14ac:dyDescent="0.35">
      <c r="B292" s="411" t="s">
        <v>343</v>
      </c>
      <c r="C292" s="412" t="s">
        <v>137</v>
      </c>
      <c r="D292" s="412"/>
      <c r="E292" s="412">
        <v>1</v>
      </c>
      <c r="F292" s="412">
        <v>200</v>
      </c>
    </row>
    <row r="293" spans="2:6" ht="15" thickBot="1" x14ac:dyDescent="0.35">
      <c r="B293" s="411" t="s">
        <v>344</v>
      </c>
      <c r="C293" s="412">
        <v>20</v>
      </c>
      <c r="D293" s="412">
        <v>8</v>
      </c>
      <c r="E293" s="412">
        <v>2</v>
      </c>
      <c r="F293" s="412">
        <f>+E293*C293*D293</f>
        <v>320</v>
      </c>
    </row>
    <row r="294" spans="2:6" ht="15" thickBot="1" x14ac:dyDescent="0.35">
      <c r="B294" s="470" t="s">
        <v>254</v>
      </c>
      <c r="C294" s="412">
        <v>50</v>
      </c>
      <c r="D294" s="412">
        <v>1</v>
      </c>
      <c r="E294" s="412">
        <v>2</v>
      </c>
      <c r="F294" s="412">
        <f>+E294*C294*D294</f>
        <v>100</v>
      </c>
    </row>
    <row r="295" spans="2:6" ht="15" thickBot="1" x14ac:dyDescent="0.35">
      <c r="B295" s="415" t="s">
        <v>30</v>
      </c>
      <c r="C295" s="416"/>
      <c r="D295" s="416"/>
      <c r="E295" s="416"/>
      <c r="F295" s="417">
        <f>SUM(F291:F294)</f>
        <v>2420</v>
      </c>
    </row>
    <row r="296" spans="2:6" x14ac:dyDescent="0.3">
      <c r="B296" s="478"/>
      <c r="C296" s="478"/>
      <c r="D296" s="478"/>
      <c r="E296" s="478"/>
      <c r="F296" s="479"/>
    </row>
    <row r="297" spans="2:6" x14ac:dyDescent="0.3">
      <c r="B297" s="478" t="s">
        <v>376</v>
      </c>
      <c r="C297" s="478"/>
      <c r="D297" s="478"/>
      <c r="E297" s="478"/>
      <c r="F297" s="479"/>
    </row>
    <row r="298" spans="2:6" ht="24.6" customHeight="1" x14ac:dyDescent="0.3">
      <c r="B298" s="752" t="s">
        <v>212</v>
      </c>
      <c r="C298" s="753"/>
      <c r="D298" s="753"/>
      <c r="E298" s="753"/>
      <c r="F298" s="753"/>
    </row>
    <row r="299" spans="2:6" ht="30" customHeight="1" x14ac:dyDescent="0.3">
      <c r="B299" s="760" t="s">
        <v>379</v>
      </c>
      <c r="C299" s="761"/>
      <c r="D299" s="761"/>
      <c r="E299" s="761"/>
      <c r="F299" s="761"/>
    </row>
    <row r="300" spans="2:6" x14ac:dyDescent="0.3">
      <c r="B300" s="478"/>
      <c r="C300" s="478"/>
      <c r="D300" s="478"/>
      <c r="E300" s="478"/>
      <c r="F300" s="479"/>
    </row>
    <row r="301" spans="2:6" ht="28.8" x14ac:dyDescent="0.3">
      <c r="B301" s="503" t="s">
        <v>380</v>
      </c>
      <c r="C301" s="502" t="s">
        <v>381</v>
      </c>
      <c r="D301" s="478"/>
      <c r="E301" s="478"/>
      <c r="F301" s="479"/>
    </row>
    <row r="302" spans="2:6" ht="29.4" thickBot="1" x14ac:dyDescent="0.35">
      <c r="B302" s="490" t="s">
        <v>382</v>
      </c>
      <c r="C302" s="412">
        <v>841.4</v>
      </c>
      <c r="D302" s="478"/>
      <c r="E302" s="478"/>
      <c r="F302" s="479"/>
    </row>
    <row r="303" spans="2:6" ht="29.4" thickBot="1" x14ac:dyDescent="0.35">
      <c r="B303" s="490" t="s">
        <v>383</v>
      </c>
      <c r="C303" s="412">
        <v>7477.5</v>
      </c>
      <c r="D303" s="478"/>
      <c r="E303" s="478"/>
      <c r="F303" s="479"/>
    </row>
    <row r="304" spans="2:6" ht="29.4" thickBot="1" x14ac:dyDescent="0.35">
      <c r="B304" s="490" t="s">
        <v>384</v>
      </c>
      <c r="C304" s="412">
        <v>7699.94</v>
      </c>
      <c r="D304" s="478"/>
      <c r="E304" s="478"/>
      <c r="F304" s="479"/>
    </row>
    <row r="305" spans="2:6" ht="29.4" thickBot="1" x14ac:dyDescent="0.35">
      <c r="B305" s="490" t="s">
        <v>385</v>
      </c>
      <c r="C305" s="412">
        <v>7749.5</v>
      </c>
      <c r="D305" s="478"/>
      <c r="E305" s="478"/>
      <c r="F305" s="479"/>
    </row>
    <row r="306" spans="2:6" ht="30" customHeight="1" x14ac:dyDescent="0.3">
      <c r="B306" s="534" t="s">
        <v>386</v>
      </c>
      <c r="C306" s="517">
        <v>6825</v>
      </c>
      <c r="D306" s="478"/>
      <c r="E306" s="478"/>
      <c r="F306" s="479"/>
    </row>
    <row r="307" spans="2:6" x14ac:dyDescent="0.3">
      <c r="B307" s="480" t="s">
        <v>30</v>
      </c>
      <c r="C307" s="480">
        <f>SUM(C302:C306)</f>
        <v>30593.34</v>
      </c>
      <c r="D307" s="478"/>
      <c r="E307" s="478"/>
      <c r="F307" s="479"/>
    </row>
    <row r="308" spans="2:6" x14ac:dyDescent="0.3">
      <c r="B308" s="478"/>
      <c r="C308" s="478"/>
      <c r="D308" s="478"/>
      <c r="E308" s="478"/>
      <c r="F308" s="479"/>
    </row>
    <row r="309" spans="2:6" ht="17.399999999999999" customHeight="1" x14ac:dyDescent="0.3">
      <c r="B309" s="752" t="s">
        <v>274</v>
      </c>
      <c r="C309" s="753"/>
      <c r="D309" s="753"/>
      <c r="E309" s="753"/>
      <c r="F309" s="753"/>
    </row>
    <row r="310" spans="2:6" ht="15" thickBot="1" x14ac:dyDescent="0.35">
      <c r="B310" s="762" t="s">
        <v>600</v>
      </c>
      <c r="C310" s="763"/>
      <c r="D310" s="763"/>
      <c r="E310" s="763"/>
      <c r="F310" s="763"/>
    </row>
    <row r="311" spans="2:6" ht="15.6" customHeight="1" thickBot="1" x14ac:dyDescent="0.35">
      <c r="B311" s="409" t="s">
        <v>247</v>
      </c>
      <c r="C311" s="410" t="s">
        <v>248</v>
      </c>
      <c r="D311" s="410" t="s">
        <v>252</v>
      </c>
      <c r="E311" s="410" t="s">
        <v>253</v>
      </c>
      <c r="F311" s="410" t="s">
        <v>250</v>
      </c>
    </row>
    <row r="312" spans="2:6" ht="15.6" customHeight="1" thickBot="1" x14ac:dyDescent="0.35">
      <c r="B312" s="411" t="s">
        <v>601</v>
      </c>
      <c r="C312" s="412">
        <v>150</v>
      </c>
      <c r="D312" s="472">
        <v>1</v>
      </c>
      <c r="E312" s="472">
        <v>30</v>
      </c>
      <c r="F312" s="412">
        <f>E312*C312*D312</f>
        <v>4500</v>
      </c>
    </row>
    <row r="313" spans="2:6" ht="15.6" customHeight="1" thickBot="1" x14ac:dyDescent="0.35">
      <c r="B313" s="411" t="s">
        <v>423</v>
      </c>
      <c r="C313" s="504">
        <v>45</v>
      </c>
      <c r="D313" s="472">
        <v>1</v>
      </c>
      <c r="E313" s="413">
        <v>12</v>
      </c>
      <c r="F313" s="412">
        <f>E313*C313*D313</f>
        <v>540</v>
      </c>
    </row>
    <row r="314" spans="2:6" ht="15" thickBot="1" x14ac:dyDescent="0.35">
      <c r="B314" s="423" t="s">
        <v>30</v>
      </c>
      <c r="C314" s="424"/>
      <c r="D314" s="424"/>
      <c r="E314" s="424"/>
      <c r="F314" s="425">
        <f>SUM(F312:F313)</f>
        <v>5040</v>
      </c>
    </row>
    <row r="316" spans="2:6" x14ac:dyDescent="0.3">
      <c r="B316" s="418" t="s">
        <v>476</v>
      </c>
    </row>
    <row r="317" spans="2:6" x14ac:dyDescent="0.3">
      <c r="B317" s="764" t="s">
        <v>214</v>
      </c>
      <c r="C317" s="765"/>
      <c r="D317" s="765"/>
      <c r="E317" s="765"/>
      <c r="F317" s="765"/>
    </row>
    <row r="318" spans="2:6" ht="19.8" customHeight="1" thickBot="1" x14ac:dyDescent="0.35">
      <c r="B318" s="762" t="s">
        <v>542</v>
      </c>
      <c r="C318" s="763"/>
      <c r="D318" s="763"/>
      <c r="E318" s="763"/>
      <c r="F318" s="763"/>
    </row>
    <row r="319" spans="2:6" ht="15.6" customHeight="1" thickBot="1" x14ac:dyDescent="0.35">
      <c r="B319" s="409" t="s">
        <v>247</v>
      </c>
      <c r="C319" s="410" t="s">
        <v>248</v>
      </c>
      <c r="D319" s="410" t="s">
        <v>252</v>
      </c>
      <c r="E319" s="410" t="s">
        <v>253</v>
      </c>
      <c r="F319" s="410" t="s">
        <v>250</v>
      </c>
    </row>
    <row r="320" spans="2:6" ht="15.6" customHeight="1" thickBot="1" x14ac:dyDescent="0.35">
      <c r="B320" s="411" t="s">
        <v>608</v>
      </c>
      <c r="C320" s="412" t="s">
        <v>137</v>
      </c>
      <c r="D320" s="472"/>
      <c r="E320" s="472"/>
      <c r="F320" s="412">
        <v>2000</v>
      </c>
    </row>
    <row r="321" spans="2:6" ht="15.6" customHeight="1" thickBot="1" x14ac:dyDescent="0.35">
      <c r="B321" s="411" t="s">
        <v>607</v>
      </c>
      <c r="C321" s="504">
        <v>45</v>
      </c>
      <c r="D321" s="472">
        <v>2</v>
      </c>
      <c r="E321" s="413">
        <v>10</v>
      </c>
      <c r="F321" s="412">
        <f>E321*C321*D321</f>
        <v>900</v>
      </c>
    </row>
    <row r="322" spans="2:6" ht="15" thickBot="1" x14ac:dyDescent="0.35">
      <c r="B322" s="423" t="s">
        <v>30</v>
      </c>
      <c r="C322" s="424"/>
      <c r="D322" s="424"/>
      <c r="E322" s="424"/>
      <c r="F322" s="425">
        <f>SUM(F320:F321)</f>
        <v>2900</v>
      </c>
    </row>
    <row r="324" spans="2:6" ht="15.6" customHeight="1" thickBot="1" x14ac:dyDescent="0.35">
      <c r="B324" s="778" t="s">
        <v>525</v>
      </c>
      <c r="C324" s="779"/>
      <c r="D324" s="779"/>
      <c r="E324" s="779"/>
      <c r="F324" s="482"/>
    </row>
    <row r="325" spans="2:6" ht="15" thickBot="1" x14ac:dyDescent="0.35">
      <c r="B325" s="409" t="s">
        <v>247</v>
      </c>
      <c r="C325" s="410" t="s">
        <v>248</v>
      </c>
      <c r="D325" s="410" t="s">
        <v>249</v>
      </c>
      <c r="E325" s="410" t="s">
        <v>250</v>
      </c>
    </row>
    <row r="326" spans="2:6" ht="15" thickBot="1" x14ac:dyDescent="0.35">
      <c r="B326" s="411" t="s">
        <v>608</v>
      </c>
      <c r="C326" s="412" t="s">
        <v>137</v>
      </c>
      <c r="D326" s="413"/>
      <c r="E326" s="412">
        <v>3000</v>
      </c>
    </row>
    <row r="327" spans="2:6" ht="15" thickBot="1" x14ac:dyDescent="0.35">
      <c r="B327" s="411" t="s">
        <v>607</v>
      </c>
      <c r="C327" s="412">
        <v>45</v>
      </c>
      <c r="D327" s="413">
        <v>10</v>
      </c>
      <c r="E327" s="412">
        <f>+D327*C327</f>
        <v>450</v>
      </c>
    </row>
    <row r="328" spans="2:6" ht="15" thickBot="1" x14ac:dyDescent="0.35">
      <c r="B328" s="415" t="s">
        <v>30</v>
      </c>
      <c r="C328" s="416"/>
      <c r="D328" s="416"/>
      <c r="E328" s="417">
        <f>SUM(E326:E327)</f>
        <v>3450</v>
      </c>
    </row>
    <row r="329" spans="2:6" ht="17.399999999999999" customHeight="1" x14ac:dyDescent="0.3">
      <c r="B329" s="762" t="s">
        <v>526</v>
      </c>
      <c r="C329" s="763"/>
      <c r="D329" s="763"/>
      <c r="E329" s="763"/>
    </row>
    <row r="330" spans="2:6" ht="6" customHeight="1" thickBot="1" x14ac:dyDescent="0.35"/>
    <row r="331" spans="2:6" ht="15" thickBot="1" x14ac:dyDescent="0.35">
      <c r="B331" s="409" t="s">
        <v>247</v>
      </c>
      <c r="C331" s="410" t="s">
        <v>248</v>
      </c>
      <c r="D331" s="410" t="s">
        <v>252</v>
      </c>
      <c r="E331" s="410" t="s">
        <v>253</v>
      </c>
      <c r="F331" s="410" t="s">
        <v>250</v>
      </c>
    </row>
    <row r="332" spans="2:6" ht="29.4" thickBot="1" x14ac:dyDescent="0.35">
      <c r="B332" s="414" t="s">
        <v>527</v>
      </c>
      <c r="C332" s="421">
        <v>275</v>
      </c>
      <c r="D332" s="421">
        <v>1</v>
      </c>
      <c r="E332" s="421">
        <v>20</v>
      </c>
      <c r="F332" s="412">
        <f>E332*C332*D332</f>
        <v>5500</v>
      </c>
    </row>
    <row r="333" spans="2:6" ht="15" thickBot="1" x14ac:dyDescent="0.35">
      <c r="B333" s="414" t="s">
        <v>528</v>
      </c>
      <c r="C333" s="421"/>
      <c r="D333" s="421">
        <v>1</v>
      </c>
      <c r="E333" s="421"/>
      <c r="F333" s="412">
        <v>1500</v>
      </c>
    </row>
    <row r="334" spans="2:6" ht="15" thickBot="1" x14ac:dyDescent="0.35">
      <c r="B334" s="415" t="s">
        <v>30</v>
      </c>
      <c r="C334" s="416"/>
      <c r="D334" s="416"/>
      <c r="E334" s="416"/>
      <c r="F334" s="417">
        <f>SUM(F332:F333)</f>
        <v>7000</v>
      </c>
    </row>
    <row r="335" spans="2:6" x14ac:dyDescent="0.3">
      <c r="B335" s="493" t="s">
        <v>345</v>
      </c>
    </row>
    <row r="336" spans="2:6" x14ac:dyDescent="0.3">
      <c r="B336" t="s">
        <v>617</v>
      </c>
    </row>
    <row r="338" spans="2:7" ht="28.8" x14ac:dyDescent="0.3">
      <c r="B338" s="480" t="s">
        <v>247</v>
      </c>
      <c r="C338" s="487" t="s">
        <v>348</v>
      </c>
    </row>
    <row r="339" spans="2:7" x14ac:dyDescent="0.3">
      <c r="B339" s="488" t="s">
        <v>346</v>
      </c>
      <c r="C339" s="488">
        <v>4500</v>
      </c>
      <c r="D339" s="499"/>
    </row>
    <row r="340" spans="2:7" ht="28.8" x14ac:dyDescent="0.3">
      <c r="B340" s="490" t="s">
        <v>347</v>
      </c>
      <c r="C340" s="488">
        <v>10500</v>
      </c>
    </row>
    <row r="341" spans="2:7" x14ac:dyDescent="0.3">
      <c r="B341" s="480" t="s">
        <v>17</v>
      </c>
      <c r="C341" s="480">
        <f>SUM(C339:C340)</f>
        <v>15000</v>
      </c>
    </row>
    <row r="342" spans="2:7" x14ac:dyDescent="0.3">
      <c r="B342" s="484" t="s">
        <v>350</v>
      </c>
    </row>
    <row r="343" spans="2:7" x14ac:dyDescent="0.3">
      <c r="B343" s="484"/>
    </row>
    <row r="344" spans="2:7" x14ac:dyDescent="0.3">
      <c r="B344" s="484" t="s">
        <v>544</v>
      </c>
    </row>
    <row r="345" spans="2:7" ht="21.6" customHeight="1" thickBot="1" x14ac:dyDescent="0.35">
      <c r="B345" s="754" t="s">
        <v>475</v>
      </c>
      <c r="C345" s="755"/>
      <c r="D345" s="755"/>
      <c r="E345" s="755"/>
      <c r="F345" s="755"/>
    </row>
    <row r="346" spans="2:7" ht="15" thickBot="1" x14ac:dyDescent="0.35">
      <c r="B346" s="409" t="s">
        <v>247</v>
      </c>
      <c r="C346" s="410" t="s">
        <v>248</v>
      </c>
      <c r="D346" s="410" t="s">
        <v>252</v>
      </c>
      <c r="E346" s="410" t="s">
        <v>253</v>
      </c>
      <c r="F346" s="410" t="s">
        <v>250</v>
      </c>
    </row>
    <row r="347" spans="2:7" ht="15" thickBot="1" x14ac:dyDescent="0.35">
      <c r="B347" s="411" t="s">
        <v>289</v>
      </c>
      <c r="C347" s="412">
        <v>45</v>
      </c>
      <c r="D347" s="419">
        <v>2</v>
      </c>
      <c r="E347" s="471">
        <v>4</v>
      </c>
      <c r="F347" s="412">
        <f>E347*C347*D347</f>
        <v>360</v>
      </c>
    </row>
    <row r="348" spans="2:7" ht="15" thickBot="1" x14ac:dyDescent="0.35">
      <c r="B348" s="411" t="s">
        <v>295</v>
      </c>
      <c r="C348" s="412">
        <v>20</v>
      </c>
      <c r="D348" s="419">
        <v>1</v>
      </c>
      <c r="E348" s="419">
        <v>4</v>
      </c>
      <c r="F348" s="412">
        <f>E348*C348*D348</f>
        <v>80</v>
      </c>
      <c r="G348" s="422"/>
    </row>
    <row r="349" spans="2:7" ht="15" thickBot="1" x14ac:dyDescent="0.35">
      <c r="B349" s="414" t="s">
        <v>255</v>
      </c>
      <c r="C349" s="421">
        <v>75</v>
      </c>
      <c r="D349" s="413">
        <v>1</v>
      </c>
      <c r="E349" s="413"/>
      <c r="F349" s="412">
        <f>C349*D349</f>
        <v>75</v>
      </c>
      <c r="G349" s="422"/>
    </row>
    <row r="350" spans="2:7" ht="15" thickBot="1" x14ac:dyDescent="0.35">
      <c r="B350" s="414" t="s">
        <v>543</v>
      </c>
      <c r="C350" s="421" t="s">
        <v>107</v>
      </c>
      <c r="D350" s="413"/>
      <c r="E350" s="413"/>
      <c r="F350" s="412">
        <v>500</v>
      </c>
      <c r="G350" s="422"/>
    </row>
    <row r="351" spans="2:7" ht="15" thickBot="1" x14ac:dyDescent="0.35">
      <c r="B351" s="415" t="s">
        <v>30</v>
      </c>
      <c r="C351" s="416"/>
      <c r="D351" s="416"/>
      <c r="E351" s="416"/>
      <c r="F351" s="417">
        <f>SUM(F347:F350)</f>
        <v>1015</v>
      </c>
    </row>
    <row r="353" spans="2:6" ht="40.200000000000003" customHeight="1" thickBot="1" x14ac:dyDescent="0.35">
      <c r="B353" s="766" t="s">
        <v>573</v>
      </c>
      <c r="C353" s="767"/>
      <c r="D353" s="767"/>
      <c r="E353" s="767"/>
      <c r="F353" s="767"/>
    </row>
    <row r="354" spans="2:6" ht="15" thickBot="1" x14ac:dyDescent="0.35">
      <c r="B354" s="409" t="s">
        <v>247</v>
      </c>
      <c r="C354" s="410" t="s">
        <v>248</v>
      </c>
      <c r="D354" s="410" t="s">
        <v>249</v>
      </c>
      <c r="E354" s="410" t="s">
        <v>253</v>
      </c>
      <c r="F354" s="410" t="s">
        <v>250</v>
      </c>
    </row>
    <row r="355" spans="2:6" ht="15" thickBot="1" x14ac:dyDescent="0.35">
      <c r="B355" s="414" t="s">
        <v>570</v>
      </c>
      <c r="C355" s="412">
        <v>150</v>
      </c>
      <c r="D355" s="412">
        <v>1</v>
      </c>
      <c r="E355" s="504">
        <v>35</v>
      </c>
      <c r="F355" s="412">
        <f>+E355*C355*D355</f>
        <v>5250</v>
      </c>
    </row>
    <row r="356" spans="2:6" ht="15" thickBot="1" x14ac:dyDescent="0.35">
      <c r="B356" s="414" t="s">
        <v>615</v>
      </c>
      <c r="C356" s="412">
        <v>45</v>
      </c>
      <c r="D356" s="412">
        <v>1</v>
      </c>
      <c r="E356" s="504">
        <v>20</v>
      </c>
      <c r="F356" s="412">
        <f>+E356*C356*D356</f>
        <v>900</v>
      </c>
    </row>
    <row r="357" spans="2:6" ht="15" thickBot="1" x14ac:dyDescent="0.35">
      <c r="B357" s="426" t="s">
        <v>614</v>
      </c>
      <c r="C357" s="412"/>
      <c r="D357" s="412"/>
      <c r="E357" s="504"/>
      <c r="F357" s="412">
        <f>SUM(F355:F356)</f>
        <v>6150</v>
      </c>
    </row>
    <row r="358" spans="2:6" ht="15" thickBot="1" x14ac:dyDescent="0.35">
      <c r="B358" s="426" t="s">
        <v>571</v>
      </c>
      <c r="C358" s="412"/>
      <c r="D358" s="412"/>
      <c r="E358" s="412"/>
      <c r="F358" s="412"/>
    </row>
    <row r="359" spans="2:6" ht="15" thickBot="1" x14ac:dyDescent="0.35">
      <c r="B359" s="411" t="s">
        <v>286</v>
      </c>
      <c r="C359" s="412">
        <v>30</v>
      </c>
      <c r="D359" s="412">
        <v>25</v>
      </c>
      <c r="E359" s="412">
        <v>3</v>
      </c>
      <c r="F359" s="412">
        <f>+E359*C359*D359</f>
        <v>2250</v>
      </c>
    </row>
    <row r="360" spans="2:6" ht="15" thickBot="1" x14ac:dyDescent="0.35">
      <c r="B360" s="411" t="s">
        <v>572</v>
      </c>
      <c r="C360" s="412"/>
      <c r="D360" s="412"/>
      <c r="E360" s="412"/>
      <c r="F360" s="412">
        <v>300</v>
      </c>
    </row>
    <row r="361" spans="2:6" ht="15" thickBot="1" x14ac:dyDescent="0.35">
      <c r="B361" s="470" t="s">
        <v>254</v>
      </c>
      <c r="C361" s="412">
        <v>100</v>
      </c>
      <c r="D361" s="412">
        <v>1</v>
      </c>
      <c r="E361" s="412">
        <v>3</v>
      </c>
      <c r="F361" s="412">
        <f>+E361*C361*D361</f>
        <v>300</v>
      </c>
    </row>
    <row r="362" spans="2:6" ht="15" thickBot="1" x14ac:dyDescent="0.35">
      <c r="B362" s="415" t="s">
        <v>30</v>
      </c>
      <c r="C362" s="416"/>
      <c r="D362" s="416"/>
      <c r="E362" s="416"/>
      <c r="F362" s="417">
        <f>SUM(F359:F361)</f>
        <v>2850</v>
      </c>
    </row>
    <row r="363" spans="2:6" ht="19.2" customHeight="1" thickBot="1" x14ac:dyDescent="0.35">
      <c r="B363" s="766" t="s">
        <v>576</v>
      </c>
      <c r="C363" s="767"/>
      <c r="D363" s="767"/>
      <c r="E363" s="767"/>
      <c r="F363" s="767"/>
    </row>
    <row r="364" spans="2:6" ht="15" thickBot="1" x14ac:dyDescent="0.35">
      <c r="B364" s="409" t="s">
        <v>247</v>
      </c>
      <c r="C364" s="410" t="s">
        <v>248</v>
      </c>
      <c r="D364" s="410" t="s">
        <v>249</v>
      </c>
      <c r="E364" s="410" t="s">
        <v>253</v>
      </c>
      <c r="F364" s="410" t="s">
        <v>250</v>
      </c>
    </row>
    <row r="365" spans="2:6" ht="15" thickBot="1" x14ac:dyDescent="0.35">
      <c r="B365" s="414" t="s">
        <v>577</v>
      </c>
      <c r="C365" s="412">
        <v>150</v>
      </c>
      <c r="D365" s="412">
        <v>1</v>
      </c>
      <c r="E365" s="504">
        <v>25</v>
      </c>
      <c r="F365" s="412">
        <f>+E365*C365*D365</f>
        <v>3750</v>
      </c>
    </row>
    <row r="366" spans="2:6" ht="15" thickBot="1" x14ac:dyDescent="0.35">
      <c r="B366" s="414" t="s">
        <v>578</v>
      </c>
      <c r="C366" s="412">
        <v>120</v>
      </c>
      <c r="D366" s="412">
        <v>1</v>
      </c>
      <c r="E366" s="504">
        <v>15</v>
      </c>
      <c r="F366" s="412">
        <f>+E366*C366*D366</f>
        <v>1800</v>
      </c>
    </row>
    <row r="367" spans="2:6" ht="15" thickBot="1" x14ac:dyDescent="0.35">
      <c r="B367" s="415" t="s">
        <v>30</v>
      </c>
      <c r="C367" s="416"/>
      <c r="D367" s="416"/>
      <c r="E367" s="416"/>
      <c r="F367" s="417">
        <f>SUM(F365:F366)</f>
        <v>5550</v>
      </c>
    </row>
    <row r="368" spans="2:6" x14ac:dyDescent="0.3">
      <c r="B368" s="478" t="s">
        <v>587</v>
      </c>
      <c r="C368" s="478"/>
      <c r="D368" s="478"/>
      <c r="E368" s="478"/>
      <c r="F368" s="479"/>
    </row>
    <row r="369" spans="2:7" ht="28.8" x14ac:dyDescent="0.3">
      <c r="B369" s="486" t="s">
        <v>588</v>
      </c>
      <c r="C369" s="478"/>
      <c r="D369" s="478"/>
      <c r="E369" s="478"/>
      <c r="F369" s="479">
        <v>4500</v>
      </c>
    </row>
    <row r="370" spans="2:7" x14ac:dyDescent="0.3">
      <c r="B370" s="478" t="s">
        <v>17</v>
      </c>
      <c r="C370" s="478"/>
      <c r="D370" s="478"/>
      <c r="E370" s="478"/>
      <c r="F370" s="479"/>
    </row>
    <row r="371" spans="2:7" x14ac:dyDescent="0.3">
      <c r="B371" s="478"/>
      <c r="C371" s="478"/>
      <c r="D371" s="478"/>
      <c r="E371" s="478"/>
      <c r="F371" s="479"/>
    </row>
    <row r="372" spans="2:7" x14ac:dyDescent="0.3">
      <c r="B372" s="484" t="s">
        <v>374</v>
      </c>
    </row>
    <row r="373" spans="2:7" x14ac:dyDescent="0.3">
      <c r="B373" s="764" t="s">
        <v>217</v>
      </c>
      <c r="C373" s="765"/>
      <c r="D373" s="765"/>
      <c r="E373" s="765"/>
      <c r="F373" s="765"/>
    </row>
    <row r="374" spans="2:7" ht="19.2" customHeight="1" thickBot="1" x14ac:dyDescent="0.35">
      <c r="B374" s="754" t="s">
        <v>481</v>
      </c>
      <c r="C374" s="755"/>
      <c r="D374" s="755"/>
      <c r="E374" s="755"/>
      <c r="F374" s="755"/>
    </row>
    <row r="375" spans="2:7" ht="15" thickBot="1" x14ac:dyDescent="0.35">
      <c r="B375" s="409" t="s">
        <v>247</v>
      </c>
      <c r="C375" s="410" t="s">
        <v>248</v>
      </c>
      <c r="D375" s="410" t="s">
        <v>252</v>
      </c>
      <c r="E375" s="410" t="s">
        <v>253</v>
      </c>
      <c r="F375" s="410" t="s">
        <v>250</v>
      </c>
    </row>
    <row r="376" spans="2:7" ht="10.8" customHeight="1" thickBot="1" x14ac:dyDescent="0.35">
      <c r="B376" s="768" t="s">
        <v>583</v>
      </c>
      <c r="C376" s="769"/>
      <c r="D376" s="769"/>
      <c r="E376" s="769"/>
      <c r="F376" s="770"/>
      <c r="G376" s="422"/>
    </row>
    <row r="377" spans="2:7" ht="15" thickBot="1" x14ac:dyDescent="0.35">
      <c r="B377" s="414" t="s">
        <v>285</v>
      </c>
      <c r="C377" s="467">
        <v>2.5</v>
      </c>
      <c r="D377" s="419">
        <v>5</v>
      </c>
      <c r="E377" s="413">
        <v>1</v>
      </c>
      <c r="F377" s="412">
        <f>E377*C377*D377</f>
        <v>12.5</v>
      </c>
      <c r="G377" s="422"/>
    </row>
    <row r="378" spans="2:7" ht="16.2" customHeight="1" thickBot="1" x14ac:dyDescent="0.35">
      <c r="B378" s="414" t="s">
        <v>373</v>
      </c>
      <c r="C378" s="412">
        <v>6</v>
      </c>
      <c r="D378" s="413">
        <v>5</v>
      </c>
      <c r="E378" s="413">
        <v>1</v>
      </c>
      <c r="F378" s="412">
        <f>E378*C378*D378</f>
        <v>30</v>
      </c>
    </row>
    <row r="379" spans="2:7" ht="15.6" customHeight="1" thickBot="1" x14ac:dyDescent="0.35">
      <c r="B379" s="771" t="s">
        <v>580</v>
      </c>
      <c r="C379" s="772"/>
      <c r="D379" s="772"/>
      <c r="E379" s="772"/>
      <c r="F379" s="773"/>
    </row>
    <row r="380" spans="2:7" ht="15" thickBot="1" x14ac:dyDescent="0.35">
      <c r="B380" s="411" t="s">
        <v>289</v>
      </c>
      <c r="C380" s="412">
        <v>45</v>
      </c>
      <c r="D380" s="419">
        <v>3</v>
      </c>
      <c r="E380" s="471">
        <v>2</v>
      </c>
      <c r="F380" s="412">
        <f>E380*C380*D380</f>
        <v>270</v>
      </c>
    </row>
    <row r="381" spans="2:7" ht="15" thickBot="1" x14ac:dyDescent="0.35">
      <c r="B381" s="411" t="s">
        <v>295</v>
      </c>
      <c r="C381" s="412">
        <v>20</v>
      </c>
      <c r="D381" s="419">
        <v>1</v>
      </c>
      <c r="E381" s="419">
        <v>2</v>
      </c>
      <c r="F381" s="412">
        <f>E381*C381*D381</f>
        <v>40</v>
      </c>
      <c r="G381" s="422"/>
    </row>
    <row r="382" spans="2:7" ht="15" thickBot="1" x14ac:dyDescent="0.35">
      <c r="B382" s="414" t="s">
        <v>255</v>
      </c>
      <c r="C382" s="421">
        <v>50</v>
      </c>
      <c r="D382" s="413">
        <v>1</v>
      </c>
      <c r="E382" s="413"/>
      <c r="F382" s="412">
        <f>C382*D382</f>
        <v>50</v>
      </c>
      <c r="G382" s="422"/>
    </row>
    <row r="383" spans="2:7" ht="15" thickBot="1" x14ac:dyDescent="0.35">
      <c r="B383" s="611" t="s">
        <v>479</v>
      </c>
      <c r="C383" s="414" t="s">
        <v>110</v>
      </c>
      <c r="D383" s="413" t="s">
        <v>370</v>
      </c>
      <c r="E383" s="413"/>
      <c r="F383" s="412" t="s">
        <v>250</v>
      </c>
      <c r="G383" s="422"/>
    </row>
    <row r="384" spans="2:7" ht="15" thickBot="1" x14ac:dyDescent="0.35">
      <c r="B384" s="83"/>
      <c r="C384" s="421">
        <v>30</v>
      </c>
      <c r="D384" s="413">
        <v>400</v>
      </c>
      <c r="E384" s="413"/>
      <c r="F384" s="412">
        <f>C384*D384</f>
        <v>12000</v>
      </c>
      <c r="G384" s="422"/>
    </row>
    <row r="385" spans="2:6" ht="15" thickBot="1" x14ac:dyDescent="0.35">
      <c r="B385" s="480" t="s">
        <v>480</v>
      </c>
      <c r="C385" s="416"/>
      <c r="D385" s="416"/>
      <c r="E385" s="416"/>
      <c r="F385" s="417">
        <f>F384+F382+F381+F380+F378+F377</f>
        <v>12402.5</v>
      </c>
    </row>
    <row r="387" spans="2:6" x14ac:dyDescent="0.3">
      <c r="B387" t="s">
        <v>240</v>
      </c>
    </row>
    <row r="388" spans="2:6" ht="20.399999999999999" customHeight="1" x14ac:dyDescent="0.3">
      <c r="B388" s="752" t="s">
        <v>218</v>
      </c>
      <c r="C388" s="753"/>
      <c r="D388" s="753"/>
      <c r="E388" s="753"/>
      <c r="F388" s="753"/>
    </row>
    <row r="389" spans="2:6" ht="21" customHeight="1" thickBot="1" x14ac:dyDescent="0.35">
      <c r="B389" s="754" t="s">
        <v>483</v>
      </c>
      <c r="C389" s="755"/>
      <c r="D389" s="755"/>
      <c r="E389" s="755"/>
      <c r="F389" s="755"/>
    </row>
    <row r="390" spans="2:6" ht="15" thickBot="1" x14ac:dyDescent="0.35">
      <c r="B390" s="409" t="s">
        <v>247</v>
      </c>
      <c r="C390" s="410" t="s">
        <v>248</v>
      </c>
      <c r="D390" s="410" t="s">
        <v>252</v>
      </c>
      <c r="E390" s="410" t="s">
        <v>253</v>
      </c>
      <c r="F390" s="410" t="s">
        <v>250</v>
      </c>
    </row>
    <row r="391" spans="2:6" ht="15" thickBot="1" x14ac:dyDescent="0.35">
      <c r="B391" s="411" t="s">
        <v>375</v>
      </c>
      <c r="C391" s="412">
        <v>150</v>
      </c>
      <c r="D391" s="472">
        <v>1</v>
      </c>
      <c r="E391" s="413">
        <v>40</v>
      </c>
      <c r="F391" s="412">
        <f>E391*C391*D391</f>
        <v>6000</v>
      </c>
    </row>
    <row r="392" spans="2:6" ht="15" thickBot="1" x14ac:dyDescent="0.35">
      <c r="B392" s="415" t="s">
        <v>484</v>
      </c>
      <c r="C392" s="412"/>
      <c r="D392" s="472"/>
      <c r="E392" s="413"/>
      <c r="F392" s="412"/>
    </row>
    <row r="393" spans="2:6" ht="15" thickBot="1" x14ac:dyDescent="0.35">
      <c r="B393" s="411" t="s">
        <v>107</v>
      </c>
      <c r="C393" s="412"/>
      <c r="D393" s="419"/>
      <c r="E393" s="419"/>
      <c r="F393" s="412">
        <v>2000</v>
      </c>
    </row>
    <row r="394" spans="2:6" ht="24" customHeight="1" thickBot="1" x14ac:dyDescent="0.35">
      <c r="B394" s="494" t="s">
        <v>30</v>
      </c>
      <c r="C394" s="424"/>
      <c r="D394" s="424"/>
      <c r="E394" s="424"/>
      <c r="F394" s="425">
        <f>SUM(F391:F393)</f>
        <v>8000</v>
      </c>
    </row>
    <row r="397" spans="2:6" x14ac:dyDescent="0.3">
      <c r="B397" t="s">
        <v>545</v>
      </c>
    </row>
    <row r="398" spans="2:6" ht="12.6" customHeight="1" thickBot="1" x14ac:dyDescent="0.35">
      <c r="B398" s="754" t="s">
        <v>425</v>
      </c>
      <c r="C398" s="755"/>
      <c r="D398" s="755"/>
      <c r="E398" s="755"/>
      <c r="F398" s="755"/>
    </row>
    <row r="399" spans="2:6" x14ac:dyDescent="0.3">
      <c r="B399" s="569" t="s">
        <v>247</v>
      </c>
      <c r="C399" s="570" t="s">
        <v>248</v>
      </c>
      <c r="D399" s="570" t="s">
        <v>252</v>
      </c>
      <c r="E399" s="570" t="s">
        <v>253</v>
      </c>
      <c r="F399" s="570" t="s">
        <v>250</v>
      </c>
    </row>
    <row r="400" spans="2:6" x14ac:dyDescent="0.3">
      <c r="B400" s="488" t="s">
        <v>630</v>
      </c>
      <c r="C400" s="481">
        <v>150</v>
      </c>
      <c r="D400" s="571">
        <v>1</v>
      </c>
      <c r="E400" s="572">
        <v>20</v>
      </c>
      <c r="F400" s="481">
        <v>1500</v>
      </c>
    </row>
    <row r="401" spans="2:7" x14ac:dyDescent="0.3">
      <c r="B401" s="488" t="s">
        <v>631</v>
      </c>
      <c r="C401" s="481">
        <v>45</v>
      </c>
      <c r="D401" s="571">
        <v>1</v>
      </c>
      <c r="E401" s="571">
        <v>10</v>
      </c>
      <c r="F401" s="481">
        <v>1525</v>
      </c>
      <c r="G401" s="422"/>
    </row>
    <row r="402" spans="2:7" x14ac:dyDescent="0.3">
      <c r="B402" s="518" t="s">
        <v>30</v>
      </c>
      <c r="C402" s="518"/>
      <c r="D402" s="518"/>
      <c r="E402" s="518"/>
      <c r="F402" s="519">
        <f>SUM(F400:F401)</f>
        <v>3025</v>
      </c>
    </row>
  </sheetData>
  <mergeCells count="48">
    <mergeCell ref="B85:D85"/>
    <mergeCell ref="B102:D102"/>
    <mergeCell ref="B156:F156"/>
    <mergeCell ref="B309:F309"/>
    <mergeCell ref="B310:F310"/>
    <mergeCell ref="B141:F141"/>
    <mergeCell ref="B324:E324"/>
    <mergeCell ref="B183:F183"/>
    <mergeCell ref="B184:F184"/>
    <mergeCell ref="B185:F185"/>
    <mergeCell ref="B288:E288"/>
    <mergeCell ref="B363:F363"/>
    <mergeCell ref="B2:E2"/>
    <mergeCell ref="B118:E118"/>
    <mergeCell ref="B68:E68"/>
    <mergeCell ref="B69:F69"/>
    <mergeCell ref="B287:E287"/>
    <mergeCell ref="B129:F129"/>
    <mergeCell ref="B109:E109"/>
    <mergeCell ref="B198:F198"/>
    <mergeCell ref="B132:F132"/>
    <mergeCell ref="B14:E14"/>
    <mergeCell ref="B30:E30"/>
    <mergeCell ref="B46:E46"/>
    <mergeCell ref="B128:E128"/>
    <mergeCell ref="B119:E119"/>
    <mergeCell ref="B108:E108"/>
    <mergeCell ref="B398:F398"/>
    <mergeCell ref="B374:F374"/>
    <mergeCell ref="B376:F376"/>
    <mergeCell ref="B379:F379"/>
    <mergeCell ref="B373:F373"/>
    <mergeCell ref="B9:E9"/>
    <mergeCell ref="B76:E76"/>
    <mergeCell ref="B75:E75"/>
    <mergeCell ref="B389:F389"/>
    <mergeCell ref="B388:F388"/>
    <mergeCell ref="B254:F254"/>
    <mergeCell ref="B259:F259"/>
    <mergeCell ref="B279:E279"/>
    <mergeCell ref="B298:F298"/>
    <mergeCell ref="B299:F299"/>
    <mergeCell ref="B329:E329"/>
    <mergeCell ref="B260:F260"/>
    <mergeCell ref="B317:F317"/>
    <mergeCell ref="B318:F318"/>
    <mergeCell ref="B345:F345"/>
    <mergeCell ref="B353:F35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7"/>
  <sheetViews>
    <sheetView zoomScale="130" zoomScaleNormal="130" workbookViewId="0">
      <selection activeCell="A3" sqref="A3:I3"/>
    </sheetView>
  </sheetViews>
  <sheetFormatPr baseColWidth="10" defaultRowHeight="14.4" x14ac:dyDescent="0.3"/>
  <cols>
    <col min="2" max="2" width="62.44140625" customWidth="1"/>
    <col min="3" max="3" width="17.44140625" bestFit="1" customWidth="1"/>
    <col min="4" max="4" width="13.44140625" customWidth="1"/>
    <col min="5" max="5" width="16.44140625" bestFit="1" customWidth="1"/>
    <col min="6" max="7" width="14.44140625" bestFit="1" customWidth="1"/>
    <col min="8" max="8" width="14.44140625" customWidth="1"/>
    <col min="9" max="9" width="15.88671875" customWidth="1"/>
    <col min="10" max="10" width="14.109375" bestFit="1" customWidth="1"/>
  </cols>
  <sheetData>
    <row r="2" spans="1:10" x14ac:dyDescent="0.3">
      <c r="A2" s="787" t="s">
        <v>315</v>
      </c>
      <c r="B2" s="787"/>
      <c r="C2" s="787"/>
      <c r="D2" s="787"/>
      <c r="E2" s="787"/>
      <c r="F2" s="787"/>
      <c r="G2" s="787"/>
      <c r="H2" s="787"/>
      <c r="I2" s="787"/>
    </row>
    <row r="3" spans="1:10" x14ac:dyDescent="0.3">
      <c r="A3" s="787" t="s">
        <v>296</v>
      </c>
      <c r="B3" s="787"/>
      <c r="C3" s="787"/>
      <c r="D3" s="787"/>
      <c r="E3" s="787"/>
      <c r="F3" s="787"/>
      <c r="G3" s="787"/>
      <c r="H3" s="787"/>
      <c r="I3" s="787"/>
    </row>
    <row r="4" spans="1:10" x14ac:dyDescent="0.3">
      <c r="A4" s="788" t="s">
        <v>297</v>
      </c>
      <c r="B4" s="788"/>
      <c r="C4" s="788"/>
      <c r="D4" s="788"/>
      <c r="E4" s="788"/>
      <c r="F4" s="788"/>
      <c r="G4" s="788"/>
      <c r="H4" s="788"/>
      <c r="I4" s="788"/>
    </row>
    <row r="5" spans="1:10" x14ac:dyDescent="0.3">
      <c r="A5" s="475"/>
      <c r="B5" s="475"/>
      <c r="C5" s="475"/>
      <c r="D5" s="475"/>
      <c r="E5" s="475"/>
      <c r="F5" s="475"/>
      <c r="G5" s="475"/>
      <c r="H5" s="476"/>
      <c r="I5" s="475"/>
    </row>
    <row r="6" spans="1:10" x14ac:dyDescent="0.3">
      <c r="A6" s="473" t="s">
        <v>298</v>
      </c>
      <c r="B6" s="474"/>
      <c r="C6" s="474"/>
      <c r="D6" s="474"/>
      <c r="E6" s="474"/>
      <c r="F6" s="474"/>
      <c r="G6" s="474"/>
      <c r="H6" s="474"/>
      <c r="I6" s="474"/>
    </row>
    <row r="7" spans="1:10" x14ac:dyDescent="0.3">
      <c r="A7" s="657" t="s">
        <v>299</v>
      </c>
      <c r="B7" s="789" t="s">
        <v>300</v>
      </c>
      <c r="C7" s="790" t="s">
        <v>301</v>
      </c>
      <c r="D7" s="790" t="s">
        <v>302</v>
      </c>
      <c r="E7" s="790"/>
      <c r="F7" s="790" t="s">
        <v>303</v>
      </c>
      <c r="G7" s="790"/>
      <c r="H7" s="658"/>
      <c r="I7" s="790" t="s">
        <v>17</v>
      </c>
    </row>
    <row r="8" spans="1:10" x14ac:dyDescent="0.3">
      <c r="A8" s="659" t="s">
        <v>304</v>
      </c>
      <c r="B8" s="789"/>
      <c r="C8" s="790"/>
      <c r="D8" s="658" t="s">
        <v>244</v>
      </c>
      <c r="E8" s="658" t="s">
        <v>14</v>
      </c>
      <c r="F8" s="658" t="s">
        <v>244</v>
      </c>
      <c r="G8" s="658" t="s">
        <v>15</v>
      </c>
      <c r="H8" s="658" t="s">
        <v>316</v>
      </c>
      <c r="I8" s="790"/>
    </row>
    <row r="9" spans="1:10" x14ac:dyDescent="0.3">
      <c r="A9" s="582">
        <v>61</v>
      </c>
      <c r="B9" s="583" t="s">
        <v>305</v>
      </c>
      <c r="C9" s="584">
        <f>SUM('PTBA 2019 C1'!$L$8:$L$31*('REPARTITION PAR NATURE PIP'!$A9='PTBA 2019 C1'!$AA$8:$AA$31))+SUM('PTBA 2019 C2'!$L$8:$L$54*('REPARTITION PAR NATURE PIP'!$A9='PTBA 2019 C2'!$AA$8:$AA$54))+SUM('PTBA 2019 C3'!$L$8:$L$57*('REPARTITION PAR NATURE PIP'!$A9='PTBA 2019 C3'!$AA$8:$AA$57))</f>
        <v>0</v>
      </c>
      <c r="D9" s="584">
        <f t="array" ref="D9">SUM('PTBA 2019 C1'!$J$8:$J$31*('REPARTITION PAR NATURE PIP'!A9='PTBA 2019 C1'!$AA$8:$AA$31))+SUM('PTBA 2019 C2'!$J$8:$J$54*('REPARTITION PAR NATURE PIP'!A9='PTBA 2019 C2'!$AA$8:$AA$54))+SUM('PTBA 2019 C3'!$J$8:$J$57*('REPARTITION PAR NATURE PIP'!A9='PTBA 2019 C3'!$AA$8:$AA$57))</f>
        <v>0</v>
      </c>
      <c r="E9" s="584">
        <f t="array" ref="E9">SUM('PTBA 2019 C1'!$N$8:$N$31*('REPARTITION PAR NATURE PIP'!$A9='PTBA 2019 C1'!$AA$8:$AA$31))+SUM('PTBA 2019 C2'!$N$8:$N$54*('REPARTITION PAR NATURE PIP'!$A9='PTBA 2019 C2'!$AA$8:$AA$54))+SUM('PTBA 2019 C3'!$N$8:$N$57*('REPARTITION PAR NATURE PIP'!$A9='PTBA 2019 C3'!$AA$8:$AA$57))</f>
        <v>500</v>
      </c>
      <c r="F9" s="584">
        <f t="array" ref="F9">SUM('PTBA 2019 C1'!$H$8:$H$31*('REPARTITION PAR NATURE PIP'!$A9='PTBA 2019 C1'!$AA$8:$AA$31))+SUM('PTBA 2019 C2'!$H$8:$H$54*('REPARTITION PAR NATURE PIP'!$A9='PTBA 2019 C2'!$AA$8:$AA$54))+SUM('PTBA 2019 C3'!$H$8:$H$57*('REPARTITION PAR NATURE PIP'!$A9='PTBA 2019 C3'!$AA$8:$AA$57))</f>
        <v>523958.08</v>
      </c>
      <c r="G9" s="584">
        <f t="array" ref="G9">SUM('PTBA 2019 C1'!$P$8:$P$31*('REPARTITION PAR NATURE PIP'!$A9='PTBA 2019 C1'!$AA$8:$AA$31))+SUM('PTBA 2019 C2'!$P$8:$P$54*('REPARTITION PAR NATURE PIP'!$A9='PTBA 2019 C2'!$AA$8:$AA$54))+SUM('PTBA 2019 C3'!$P$8:$P$57*('REPARTITION PAR NATURE PIP'!$A9='PTBA 2019 C3'!$AA$8:$AA$57))</f>
        <v>19824.800000000003</v>
      </c>
      <c r="H9" s="584">
        <f t="array" ref="H9">SUM('PTBA 2019 C1'!$R$8:$R$31*('REPARTITION PAR NATURE PIP'!A9='PTBA 2019 C1'!$AA$8:$AA$31))+SUM('PTBA 2019 C2'!$R$8:$R$54*('REPARTITION PAR NATURE PIP'!A9='PTBA 2019 C2'!$AA$8:$AA$54))+SUM('PTBA 2019 C3'!$R$8:$R$57*('REPARTITION PAR NATURE PIP'!A9='PTBA 2019 C3'!$AA$8:$AA$57))</f>
        <v>0</v>
      </c>
      <c r="I9" s="584">
        <f>SUM(C9:H9)</f>
        <v>544282.88000000012</v>
      </c>
    </row>
    <row r="10" spans="1:10" x14ac:dyDescent="0.3">
      <c r="A10" s="582">
        <v>62</v>
      </c>
      <c r="B10" s="583" t="s">
        <v>306</v>
      </c>
      <c r="C10" s="584">
        <f t="array" ref="C10">SUM('PTBA 2019 C1'!$L$8:$L$31*('REPARTITION PAR NATURE PIP'!$A10='PTBA 2019 C1'!$AA$8:$AA$31))+SUM('PTBA 2019 C2'!$L$8:$L$54*('REPARTITION PAR NATURE PIP'!$A10='PTBA 2019 C2'!$AA$8:$AA$54))+SUM('PTBA 2019 C3'!$L$8:$L$57*('REPARTITION PAR NATURE PIP'!$A10='PTBA 2019 C3'!$AA$8:$AA$57))</f>
        <v>0</v>
      </c>
      <c r="D10" s="584">
        <f t="array" ref="D10">SUM('PTBA 2019 C1'!$J$8:$J$31*('REPARTITION PAR NATURE PIP'!A10='PTBA 2019 C1'!$AA$8:$AA$31))+SUM('PTBA 2019 C2'!$J$8:$J$54*('REPARTITION PAR NATURE PIP'!A10='PTBA 2019 C2'!$AA$8:$AA$54))+SUM('PTBA 2019 C3'!$J$8:$J$57*('REPARTITION PAR NATURE PIP'!A10='PTBA 2019 C3'!$AA$8:$AA$57))</f>
        <v>0</v>
      </c>
      <c r="E10" s="584">
        <f t="array" ref="E10">SUM('PTBA 2019 C1'!$N$8:$N$31*('REPARTITION PAR NATURE PIP'!$A10='PTBA 2019 C1'!$AA$8:$AA$31))+SUM('PTBA 2019 C2'!$N$8:$N$54*('REPARTITION PAR NATURE PIP'!$A10='PTBA 2019 C2'!$AA$8:$AA$54))+SUM('PTBA 2019 C3'!$N$8:$N$57*('REPARTITION PAR NATURE PIP'!$A10='PTBA 2019 C3'!$AA$8:$AA$57))</f>
        <v>6000</v>
      </c>
      <c r="F10" s="584">
        <f t="array" ref="F10">SUM('PTBA 2019 C1'!$H$8:$H$31*('REPARTITION PAR NATURE PIP'!$A10='PTBA 2019 C1'!$AA$8:$AA$31))+SUM('PTBA 2019 C2'!$H$8:$H$54*('REPARTITION PAR NATURE PIP'!$A10='PTBA 2019 C2'!$AA$8:$AA$54))+SUM('PTBA 2019 C3'!$H$8:$H$57*('REPARTITION PAR NATURE PIP'!$A10='PTBA 2019 C3'!$AA$8:$AA$57))</f>
        <v>30000</v>
      </c>
      <c r="G10" s="584">
        <f t="array" ref="G10">SUM('PTBA 2019 C1'!$P$8:$P$31*('REPARTITION PAR NATURE PIP'!$A10='PTBA 2019 C1'!$AA$8:$AA$31))+SUM('PTBA 2019 C2'!$P$8:$P$54*('REPARTITION PAR NATURE PIP'!$A10='PTBA 2019 C2'!$AA$8:$AA$54))+SUM('PTBA 2019 C3'!$P$8:$P$57*('REPARTITION PAR NATURE PIP'!$A10='PTBA 2019 C3'!$AA$8:$AA$57))</f>
        <v>0</v>
      </c>
      <c r="H10" s="584">
        <f t="array" ref="H10">SUM('PTBA 2019 C1'!$R$8:$R$31*('REPARTITION PAR NATURE PIP'!A10='PTBA 2019 C1'!$AA$8:$AA$31))+SUM('PTBA 2019 C2'!$R$8:$R$54*('REPARTITION PAR NATURE PIP'!A10='PTBA 2019 C2'!$AA$8:$AA$54))+SUM('PTBA 2019 C3'!$R$8:$R$57*('REPARTITION PAR NATURE PIP'!A10='PTBA 2019 C3'!$AA$8:$AA$57))</f>
        <v>0</v>
      </c>
      <c r="I10" s="584">
        <f t="shared" ref="I10:I17" si="0">SUM(C10:H10)</f>
        <v>36000</v>
      </c>
    </row>
    <row r="11" spans="1:10" x14ac:dyDescent="0.3">
      <c r="A11" s="582">
        <v>21</v>
      </c>
      <c r="B11" s="583" t="s">
        <v>307</v>
      </c>
      <c r="C11" s="584">
        <f t="array" ref="C11">SUM('PTBA 2019 C1'!$L$8:$L$31*('REPARTITION PAR NATURE PIP'!$A11='PTBA 2019 C1'!$AA$8:$AA$31))+SUM('PTBA 2019 C2'!$L$8:$L$54*('REPARTITION PAR NATURE PIP'!$A11='PTBA 2019 C2'!$AA$8:$AA$54))+SUM('PTBA 2019 C3'!$L$8:$L$57*('REPARTITION PAR NATURE PIP'!$A11='PTBA 2019 C3'!$AA$8:$AA$57))</f>
        <v>23561.010000000002</v>
      </c>
      <c r="D11" s="584">
        <f t="array" ref="D11">SUM('PTBA 2019 C1'!$J$8:$J$31*('REPARTITION PAR NATURE PIP'!A11='PTBA 2019 C1'!$AA$8:$AA$31))+SUM('PTBA 2019 C2'!$J$8:$J$54*('REPARTITION PAR NATURE PIP'!A11='PTBA 2019 C2'!$AA$8:$AA$54))+SUM('PTBA 2019 C3'!$J$8:$J$57*('REPARTITION PAR NATURE PIP'!A11='PTBA 2019 C3'!$AA$8:$AA$57))</f>
        <v>10450</v>
      </c>
      <c r="E11" s="584">
        <f t="array" ref="E11">SUM('PTBA 2019 C1'!$N$8:$N$31*('REPARTITION PAR NATURE PIP'!$A11='PTBA 2019 C1'!$AA$8:$AA$31))+SUM('PTBA 2019 C2'!$N$8:$N$54*('REPARTITION PAR NATURE PIP'!$A11='PTBA 2019 C2'!$AA$8:$AA$54))+SUM('PTBA 2019 C3'!$N$8:$N$57*('REPARTITION PAR NATURE PIP'!$A11='PTBA 2019 C3'!$AA$8:$AA$57))</f>
        <v>174662.5</v>
      </c>
      <c r="F11" s="584">
        <f t="array" ref="F11">SUM('PTBA 2019 C1'!$H$8:$H$31*('REPARTITION PAR NATURE PIP'!$A11='PTBA 2019 C1'!$AA$8:$AA$31))+SUM('PTBA 2019 C2'!$H$8:$H$54*('REPARTITION PAR NATURE PIP'!$A11='PTBA 2019 C2'!$AA$8:$AA$54))+SUM('PTBA 2019 C3'!$H$8:$H$57*('REPARTITION PAR NATURE PIP'!$A11='PTBA 2019 C3'!$AA$8:$AA$57))</f>
        <v>1292917.8028000002</v>
      </c>
      <c r="G11" s="584">
        <f t="array" ref="G11">SUM('PTBA 2019 C1'!$P$8:$P$31*('REPARTITION PAR NATURE PIP'!$A11='PTBA 2019 C1'!$AA$8:$AA$31))+SUM('PTBA 2019 C2'!$P$8:$P$54*('REPARTITION PAR NATURE PIP'!$A11='PTBA 2019 C2'!$AA$8:$AA$54))+SUM('PTBA 2019 C3'!$P$8:$P$57*('REPARTITION PAR NATURE PIP'!$A11='PTBA 2019 C3'!$AA$8:$AA$57))</f>
        <v>39824.939999999995</v>
      </c>
      <c r="H11" s="584">
        <f t="array" ref="H11">SUM('PTBA 2019 C1'!$R$8:$R$31*('REPARTITION PAR NATURE PIP'!A11='PTBA 2019 C1'!$AA$8:$AA$31))+SUM('PTBA 2019 C2'!$R$8:$R$54*('REPARTITION PAR NATURE PIP'!A11='PTBA 2019 C2'!$AA$8:$AA$54))+SUM('PTBA 2019 C3'!$R$8:$R$57*('REPARTITION PAR NATURE PIP'!A11='PTBA 2019 C3'!$AA$8:$AA$57))</f>
        <v>50000</v>
      </c>
      <c r="I11" s="584">
        <f t="shared" si="0"/>
        <v>1591416.2528000001</v>
      </c>
    </row>
    <row r="12" spans="1:10" x14ac:dyDescent="0.3">
      <c r="A12" s="582">
        <v>22</v>
      </c>
      <c r="B12" s="583" t="s">
        <v>308</v>
      </c>
      <c r="C12" s="584">
        <f t="array" ref="C12">SUM('PTBA 2019 C1'!$L$8:$L$31*('REPARTITION PAR NATURE PIP'!$A12='PTBA 2019 C1'!$AA$8:$AA$31))+SUM('PTBA 2019 C2'!$L$8:$L$54*('REPARTITION PAR NATURE PIP'!$A12='PTBA 2019 C2'!$AA$8:$AA$54))+SUM('PTBA 2019 C3'!$L$8:$L$57*('REPARTITION PAR NATURE PIP'!$A12='PTBA 2019 C3'!$AA$8:$AA$57))</f>
        <v>280725.51</v>
      </c>
      <c r="D12" s="584">
        <f t="array" ref="D12">SUM('PTBA 2019 C1'!$J$8:$J$31*('REPARTITION PAR NATURE PIP'!A12='PTBA 2019 C1'!$AA$8:$AA$31))+SUM('PTBA 2019 C2'!$J$8:$J$54*('REPARTITION PAR NATURE PIP'!A12='PTBA 2019 C2'!$AA$8:$AA$54))+SUM('PTBA 2019 C3'!$J$8:$J$57*('REPARTITION PAR NATURE PIP'!A12='PTBA 2019 C3'!$AA$8:$AA$57))</f>
        <v>0</v>
      </c>
      <c r="E12" s="584">
        <f t="array" ref="E12">SUM('PTBA 2019 C1'!$N$8:$N$31*('REPARTITION PAR NATURE PIP'!$A12='PTBA 2019 C1'!$AA$8:$AA$31))+SUM('PTBA 2019 C2'!$N$8:$N$54*('REPARTITION PAR NATURE PIP'!$A12='PTBA 2019 C2'!$AA$8:$AA$54))+SUM('PTBA 2019 C3'!$N$8:$N$57*('REPARTITION PAR NATURE PIP'!$A12='PTBA 2019 C3'!$AA$8:$AA$57))</f>
        <v>137100</v>
      </c>
      <c r="F12" s="584">
        <f t="array" ref="F12">SUM('PTBA 2019 C1'!$H$8:$H$31*('REPARTITION PAR NATURE PIP'!$A12='PTBA 2019 C1'!$AA$8:$AA$31))+SUM('PTBA 2019 C2'!$H$8:$H$54*('REPARTITION PAR NATURE PIP'!$A12='PTBA 2019 C2'!$AA$8:$AA$54))+SUM('PTBA 2019 C3'!$H$8:$H$57*('REPARTITION PAR NATURE PIP'!$A12='PTBA 2019 C3'!$AA$8:$AA$57))</f>
        <v>156000</v>
      </c>
      <c r="G12" s="584">
        <f t="array" ref="G12">SUM('PTBA 2019 C1'!$P$8:$P$31*('REPARTITION PAR NATURE PIP'!$A12='PTBA 2019 C1'!$AA$8:$AA$31))+SUM('PTBA 2019 C2'!$P$8:$P$54*('REPARTITION PAR NATURE PIP'!$A12='PTBA 2019 C2'!$AA$8:$AA$54))+SUM('PTBA 2019 C3'!$P$8:$P$57*('REPARTITION PAR NATURE PIP'!$A12='PTBA 2019 C3'!$AA$8:$AA$57))</f>
        <v>1199630.49</v>
      </c>
      <c r="H12" s="584">
        <f t="array" ref="H12">SUM('PTBA 2019 C1'!$R$8:$R$31*('REPARTITION PAR NATURE PIP'!A12='PTBA 2019 C1'!$AA$8:$AA$31))+SUM('PTBA 2019 C2'!$R$8:$R$54*('REPARTITION PAR NATURE PIP'!A12='PTBA 2019 C2'!$AA$8:$AA$54))+SUM('PTBA 2019 C3'!$R$8:$R$57*('REPARTITION PAR NATURE PIP'!A12='PTBA 2019 C3'!$AA$8:$AA$57))</f>
        <v>63943.5</v>
      </c>
      <c r="I12" s="584">
        <f t="shared" si="0"/>
        <v>1837399.5</v>
      </c>
    </row>
    <row r="13" spans="1:10" x14ac:dyDescent="0.3">
      <c r="A13" s="582">
        <v>23</v>
      </c>
      <c r="B13" s="583" t="s">
        <v>309</v>
      </c>
      <c r="C13" s="584">
        <f t="array" ref="C13">SUM('PTBA 2019 C1'!$L$8:$L$31*('REPARTITION PAR NATURE PIP'!$A13='PTBA 2019 C1'!$AA$8:$AA$31))+SUM('PTBA 2019 C2'!$L$8:$L$54*('REPARTITION PAR NATURE PIP'!$A13='PTBA 2019 C2'!$AA$8:$AA$54))+SUM('PTBA 2019 C3'!$L$8:$L$57*('REPARTITION PAR NATURE PIP'!$A13='PTBA 2019 C3'!$AA$8:$AA$57))</f>
        <v>63900.000000000007</v>
      </c>
      <c r="D13" s="584">
        <f t="array" ref="D13">SUM('PTBA 2019 C1'!$J$8:$J$31*('REPARTITION PAR NATURE PIP'!A13='PTBA 2019 C1'!$AA$8:$AA$31))+SUM('PTBA 2019 C2'!$J$8:$J$54*('REPARTITION PAR NATURE PIP'!A13='PTBA 2019 C2'!$AA$8:$AA$54))+SUM('PTBA 2019 C3'!$J$8:$J$57*('REPARTITION PAR NATURE PIP'!A13='PTBA 2019 C3'!$AA$8:$AA$57))</f>
        <v>0</v>
      </c>
      <c r="E13" s="584">
        <f t="array" ref="E13">SUM('PTBA 2019 C1'!$N$8:$N$31*('REPARTITION PAR NATURE PIP'!$A13='PTBA 2019 C1'!$AA$8:$AA$31))+SUM('PTBA 2019 C2'!$N$8:$N$54*('REPARTITION PAR NATURE PIP'!$A13='PTBA 2019 C2'!$AA$8:$AA$54))+SUM('PTBA 2019 C3'!$N$8:$N$57*('REPARTITION PAR NATURE PIP'!$A13='PTBA 2019 C3'!$AA$8:$AA$57))</f>
        <v>0</v>
      </c>
      <c r="F13" s="584">
        <f t="array" ref="F13">SUM('PTBA 2019 C1'!$H$8:$H$31*('REPARTITION PAR NATURE PIP'!$A13='PTBA 2019 C1'!$AA$8:$AA$31))+SUM('PTBA 2019 C2'!$H$8:$H$54*('REPARTITION PAR NATURE PIP'!$A13='PTBA 2019 C2'!$AA$8:$AA$54))+SUM('PTBA 2019 C3'!$H$8:$H$57*('REPARTITION PAR NATURE PIP'!$A13='PTBA 2019 C3'!$AA$8:$AA$57))</f>
        <v>12000</v>
      </c>
      <c r="G13" s="584">
        <f t="array" ref="G13">SUM('PTBA 2019 C1'!$P$8:$P$31*('REPARTITION PAR NATURE PIP'!$A13='PTBA 2019 C1'!$AA$8:$AA$31))+SUM('PTBA 2019 C2'!$P$8:$P$54*('REPARTITION PAR NATURE PIP'!$A13='PTBA 2019 C2'!$AA$8:$AA$54))+SUM('PTBA 2019 C3'!$P$8:$P$57*('REPARTITION PAR NATURE PIP'!$A13='PTBA 2019 C3'!$AA$8:$AA$57))</f>
        <v>291100</v>
      </c>
      <c r="H13" s="584">
        <f t="array" ref="H13">SUM('PTBA 2019 C1'!$R$8:$R$31*('REPARTITION PAR NATURE PIP'!A13='PTBA 2019 C1'!$AA$8:$AA$31))+SUM('PTBA 2019 C2'!$R$8:$R$54*('REPARTITION PAR NATURE PIP'!A13='PTBA 2019 C2'!$AA$8:$AA$54))+SUM('PTBA 2019 C3'!$R$8:$R$57*('REPARTITION PAR NATURE PIP'!A13='PTBA 2019 C3'!$AA$8:$AA$57))</f>
        <v>0</v>
      </c>
      <c r="I13" s="584">
        <f t="shared" si="0"/>
        <v>367000</v>
      </c>
    </row>
    <row r="14" spans="1:10" x14ac:dyDescent="0.3">
      <c r="A14" s="582">
        <v>24</v>
      </c>
      <c r="B14" s="583" t="s">
        <v>310</v>
      </c>
      <c r="C14" s="584">
        <f t="array" ref="C14">SUM('PTBA 2019 C1'!$L$8:$L$31*('REPARTITION PAR NATURE PIP'!$A14='PTBA 2019 C1'!$AA$8:$AA$31))+SUM('PTBA 2019 C2'!$L$8:$L$54*('REPARTITION PAR NATURE PIP'!$A14='PTBA 2019 C2'!$AA$8:$AA$54))+SUM('PTBA 2019 C3'!$L$8:$L$57*('REPARTITION PAR NATURE PIP'!$A14='PTBA 2019 C3'!$AA$8:$AA$57))</f>
        <v>12520.720000000001</v>
      </c>
      <c r="D14" s="584">
        <f t="array" ref="D14">SUM('PTBA 2019 C1'!$J$8:$J$31*('REPARTITION PAR NATURE PIP'!A14='PTBA 2019 C1'!$AA$8:$AA$31))+SUM('PTBA 2019 C2'!$J$8:$J$54*('REPARTITION PAR NATURE PIP'!A14='PTBA 2019 C2'!$AA$8:$AA$54))+SUM('PTBA 2019 C3'!$J$8:$J$57*('REPARTITION PAR NATURE PIP'!A14='PTBA 2019 C3'!$AA$8:$AA$57))</f>
        <v>0</v>
      </c>
      <c r="E14" s="584">
        <f t="array" ref="E14">SUM('PTBA 2019 C1'!$N$8:$N$31*('REPARTITION PAR NATURE PIP'!$A14='PTBA 2019 C1'!$AA$8:$AA$31))+SUM('PTBA 2019 C2'!$N$8:$N$54*('REPARTITION PAR NATURE PIP'!$A14='PTBA 2019 C2'!$AA$8:$AA$54))+SUM('PTBA 2019 C3'!$N$8:$N$57*('REPARTITION PAR NATURE PIP'!$A14='PTBA 2019 C3'!$AA$8:$AA$57))</f>
        <v>0</v>
      </c>
      <c r="F14" s="584">
        <f t="array" ref="F14">SUM('PTBA 2019 C1'!$H$8:$H$31*('REPARTITION PAR NATURE PIP'!$A14='PTBA 2019 C1'!$AA$8:$AA$31))+SUM('PTBA 2019 C2'!$H$8:$H$54*('REPARTITION PAR NATURE PIP'!$A14='PTBA 2019 C2'!$AA$8:$AA$54))+SUM('PTBA 2019 C3'!$H$8:$H$57*('REPARTITION PAR NATURE PIP'!$A14='PTBA 2019 C3'!$AA$8:$AA$57))</f>
        <v>65483.28</v>
      </c>
      <c r="G14" s="584">
        <f t="array" ref="G14">SUM('PTBA 2019 C1'!$P$8:$P$31*('REPARTITION PAR NATURE PIP'!$A14='PTBA 2019 C1'!$AA$8:$AA$31))+SUM('PTBA 2019 C2'!$P$8:$P$54*('REPARTITION PAR NATURE PIP'!$A14='PTBA 2019 C2'!$AA$8:$AA$54))+SUM('PTBA 2019 C3'!$P$8:$P$57*('REPARTITION PAR NATURE PIP'!$A14='PTBA 2019 C3'!$AA$8:$AA$57))</f>
        <v>0</v>
      </c>
      <c r="H14" s="584">
        <f t="array" ref="H14">SUM('PTBA 2019 C1'!$R$8:$R$31*('REPARTITION PAR NATURE PIP'!A14='PTBA 2019 C1'!$AA$8:$AA$31))+SUM('PTBA 2019 C2'!$R$8:$R$54*('REPARTITION PAR NATURE PIP'!A14='PTBA 2019 C2'!$AA$8:$AA$54))+SUM('PTBA 2019 C3'!$R$8:$R$57*('REPARTITION PAR NATURE PIP'!A14='PTBA 2019 C3'!$AA$8:$AA$57))</f>
        <v>0</v>
      </c>
      <c r="I14" s="584">
        <f t="shared" si="0"/>
        <v>78004</v>
      </c>
    </row>
    <row r="15" spans="1:10" x14ac:dyDescent="0.3">
      <c r="A15" s="582">
        <v>25</v>
      </c>
      <c r="B15" s="583" t="s">
        <v>311</v>
      </c>
      <c r="C15" s="584">
        <f t="array" ref="C15">SUM('PTBA 2019 C1'!$L$8:$L$31*('REPARTITION PAR NATURE PIP'!$A15='PTBA 2019 C1'!$AA$8:$AA$31))+SUM('PTBA 2019 C2'!$L$8:$L$54*('REPARTITION PAR NATURE PIP'!$A15='PTBA 2019 C2'!$AA$8:$AA$54))+SUM('PTBA 2019 C3'!$L$8:$L$57*('REPARTITION PAR NATURE PIP'!$A15='PTBA 2019 C3'!$AA$8:$AA$57))</f>
        <v>0</v>
      </c>
      <c r="D15" s="584">
        <f t="array" ref="D15">SUM('PTBA 2019 C1'!$J$8:$J$31*('REPARTITION PAR NATURE PIP'!A15='PTBA 2019 C1'!$AA$8:$AA$31))+SUM('PTBA 2019 C2'!$J$8:$J$54*('REPARTITION PAR NATURE PIP'!A15='PTBA 2019 C2'!$AA$8:$AA$54))+SUM('PTBA 2019 C3'!$J$8:$J$57*('REPARTITION PAR NATURE PIP'!A15='PTBA 2019 C3'!$AA$8:$AA$57))</f>
        <v>0</v>
      </c>
      <c r="E15" s="584">
        <f t="array" ref="E15">SUM('PTBA 2019 C1'!$N$8:$N$31*('REPARTITION PAR NATURE PIP'!$A15='PTBA 2019 C1'!$AA$8:$AA$31))+SUM('PTBA 2019 C2'!$N$8:$N$54*('REPARTITION PAR NATURE PIP'!$A15='PTBA 2019 C2'!$AA$8:$AA$54))+SUM('PTBA 2019 C3'!$N$8:$N$57*('REPARTITION PAR NATURE PIP'!$A15='PTBA 2019 C3'!$AA$8:$AA$57))</f>
        <v>0</v>
      </c>
      <c r="F15" s="584">
        <f t="array" ref="F15">SUM('PTBA 2019 C1'!$H$8:$H$31*('REPARTITION PAR NATURE PIP'!$A15='PTBA 2019 C1'!$AA$8:$AA$31))+SUM('PTBA 2019 C2'!$H$8:$H$54*('REPARTITION PAR NATURE PIP'!$A15='PTBA 2019 C2'!$AA$8:$AA$54))+SUM('PTBA 2019 C3'!$H$8:$H$57*('REPARTITION PAR NATURE PIP'!$A15='PTBA 2019 C3'!$AA$8:$AA$57))</f>
        <v>0</v>
      </c>
      <c r="G15" s="584">
        <f t="array" ref="G15">SUM('PTBA 2019 C1'!$P$8:$P$31*('REPARTITION PAR NATURE PIP'!$A15='PTBA 2019 C1'!$AA$8:$AA$31))+SUM('PTBA 2019 C2'!$P$8:$P$54*('REPARTITION PAR NATURE PIP'!$A15='PTBA 2019 C2'!$AA$8:$AA$54))+SUM('PTBA 2019 C3'!$P$8:$P$57*('REPARTITION PAR NATURE PIP'!$A15='PTBA 2019 C3'!$AA$8:$AA$57))</f>
        <v>0</v>
      </c>
      <c r="H15" s="584">
        <f t="array" ref="H15">SUM('PTBA 2019 C1'!$R$8:$R$31*('REPARTITION PAR NATURE PIP'!A15='PTBA 2019 C1'!$AA$8:$AA$31))+SUM('PTBA 2019 C2'!$R$8:$R$54*('REPARTITION PAR NATURE PIP'!A15='PTBA 2019 C2'!$AA$8:$AA$54))+SUM('PTBA 2019 C3'!$R$8:$R$57*('REPARTITION PAR NATURE PIP'!A15='PTBA 2019 C3'!$AA$8:$AA$57))</f>
        <v>0</v>
      </c>
      <c r="I15" s="584">
        <f t="shared" si="0"/>
        <v>0</v>
      </c>
      <c r="J15" s="427"/>
    </row>
    <row r="16" spans="1:10" x14ac:dyDescent="0.3">
      <c r="A16" s="582">
        <v>26</v>
      </c>
      <c r="B16" s="583" t="s">
        <v>312</v>
      </c>
      <c r="C16" s="584">
        <f t="array" ref="C16">SUM('PTBA 2019 C1'!$L$8:$L$31*('REPARTITION PAR NATURE PIP'!$A16='PTBA 2019 C1'!$AA$8:$AA$31))+SUM('PTBA 2019 C2'!$L$8:$L$54*('REPARTITION PAR NATURE PIP'!$A16='PTBA 2019 C2'!$AA$8:$AA$54))+SUM('PTBA 2019 C3'!$L$8:$L$57*('REPARTITION PAR NATURE PIP'!$A16='PTBA 2019 C3'!$AA$8:$AA$57))</f>
        <v>0</v>
      </c>
      <c r="D16" s="584">
        <f t="array" ref="D16">SUM('PTBA 2019 C1'!$J$8:$J$31*('REPARTITION PAR NATURE PIP'!A16='PTBA 2019 C1'!$AA$8:$AA$31))+SUM('PTBA 2019 C2'!$J$8:$J$54*('REPARTITION PAR NATURE PIP'!A16='PTBA 2019 C2'!$AA$8:$AA$54))+SUM('PTBA 2019 C3'!$J$8:$J$57*('REPARTITION PAR NATURE PIP'!A16='PTBA 2019 C3'!$AA$8:$AA$57))</f>
        <v>0</v>
      </c>
      <c r="E16" s="584">
        <f t="array" ref="E16">SUM('PTBA 2019 C1'!$N$8:$N$31*('REPARTITION PAR NATURE PIP'!$A16='PTBA 2019 C1'!$AA$8:$AA$31))+SUM('PTBA 2019 C2'!$N$8:$N$54*('REPARTITION PAR NATURE PIP'!$A16='PTBA 2019 C2'!$AA$8:$AA$54))+SUM('PTBA 2019 C3'!$N$8:$N$57*('REPARTITION PAR NATURE PIP'!$A16='PTBA 2019 C3'!$AA$8:$AA$57))</f>
        <v>0</v>
      </c>
      <c r="F16" s="584">
        <f t="array" ref="F16">SUM('PTBA 2019 C1'!$H$8:$H$31*('REPARTITION PAR NATURE PIP'!$A16='PTBA 2019 C1'!$AA$8:$AA$31))+SUM('PTBA 2019 C2'!$H$8:$H$54*('REPARTITION PAR NATURE PIP'!$A16='PTBA 2019 C2'!$AA$8:$AA$54))+SUM('PTBA 2019 C3'!$H$8:$H$57*('REPARTITION PAR NATURE PIP'!$A16='PTBA 2019 C3'!$AA$8:$AA$57))</f>
        <v>0</v>
      </c>
      <c r="G16" s="584">
        <f t="array" ref="G16">SUM('PTBA 2019 C1'!$P$8:$P$31*('REPARTITION PAR NATURE PIP'!$A16='PTBA 2019 C1'!$AA$8:$AA$31))+SUM('PTBA 2019 C2'!$P$8:$P$54*('REPARTITION PAR NATURE PIP'!$A16='PTBA 2019 C2'!$AA$8:$AA$54))+SUM('PTBA 2019 C3'!$P$8:$P$57*('REPARTITION PAR NATURE PIP'!$A16='PTBA 2019 C3'!$AA$8:$AA$57))</f>
        <v>0</v>
      </c>
      <c r="H16" s="584">
        <f t="array" ref="H16">SUM('PTBA 2019 C1'!$R$8:$R$31*('REPARTITION PAR NATURE PIP'!A16='PTBA 2019 C1'!$AA$8:$AA$31))+SUM('PTBA 2019 C2'!$R$8:$R$54*('REPARTITION PAR NATURE PIP'!A16='PTBA 2019 C2'!$AA$8:$AA$54))+SUM('PTBA 2019 C3'!$R$8:$R$57*('REPARTITION PAR NATURE PIP'!A16='PTBA 2019 C3'!$AA$8:$AA$57))</f>
        <v>0</v>
      </c>
      <c r="I16" s="584">
        <f t="shared" si="0"/>
        <v>0</v>
      </c>
    </row>
    <row r="17" spans="1:10" x14ac:dyDescent="0.3">
      <c r="A17" s="582">
        <v>27</v>
      </c>
      <c r="B17" s="583" t="s">
        <v>313</v>
      </c>
      <c r="C17" s="584">
        <f t="array" ref="C17">SUM('PTBA 2019 C1'!$L$8:$L$31*('REPARTITION PAR NATURE PIP'!$A17='PTBA 2019 C1'!$AA$8:$AA$31))+SUM('PTBA 2019 C2'!$L$8:$L$54*('REPARTITION PAR NATURE PIP'!$A17='PTBA 2019 C2'!$AA$8:$AA$54))+SUM('PTBA 2019 C3'!$L$8:$L$57*('REPARTITION PAR NATURE PIP'!$A17='PTBA 2019 C3'!$AA$8:$AA$57))</f>
        <v>0</v>
      </c>
      <c r="D17" s="584">
        <f t="array" ref="D17">SUM('PTBA 2019 C1'!$J$8:$J$31*('REPARTITION PAR NATURE PIP'!A17='PTBA 2019 C1'!$AA$8:$AA$31))+SUM('PTBA 2019 C2'!$J$8:$J$54*('REPARTITION PAR NATURE PIP'!A17='PTBA 2019 C2'!$AA$8:$AA$54))+SUM('PTBA 2019 C3'!$J$8:$J$57*('REPARTITION PAR NATURE PIP'!A17='PTBA 2019 C3'!$AA$8:$AA$57))</f>
        <v>0</v>
      </c>
      <c r="E17" s="584">
        <f t="array" ref="E17">SUM('PTBA 2019 C1'!$N$8:$N$31*('REPARTITION PAR NATURE PIP'!$A17='PTBA 2019 C1'!$AA$8:$AA$31))+SUM('PTBA 2019 C2'!$N$8:$N$54*('REPARTITION PAR NATURE PIP'!$A17='PTBA 2019 C2'!$AA$8:$AA$54))+SUM('PTBA 2019 C3'!$N$8:$N$57*('REPARTITION PAR NATURE PIP'!$A17='PTBA 2019 C3'!$AA$8:$AA$57))</f>
        <v>0</v>
      </c>
      <c r="F17" s="584">
        <f t="array" ref="F17">SUM('PTBA 2019 C1'!$H$8:$H$31*('REPARTITION PAR NATURE PIP'!$A17='PTBA 2019 C1'!$AA$8:$AA$31))+SUM('PTBA 2019 C2'!$H$8:$H$54*('REPARTITION PAR NATURE PIP'!$A17='PTBA 2019 C2'!$AA$8:$AA$54))+SUM('PTBA 2019 C3'!$H$8:$H$57*('REPARTITION PAR NATURE PIP'!$A17='PTBA 2019 C3'!$AA$8:$AA$57))</f>
        <v>0</v>
      </c>
      <c r="G17" s="584">
        <f t="array" ref="G17">SUM('PTBA 2019 C1'!$P$8:$P$31*('REPARTITION PAR NATURE PIP'!$A17='PTBA 2019 C1'!$AA$8:$AA$31))+SUM('PTBA 2019 C2'!$P$8:$P$54*('REPARTITION PAR NATURE PIP'!$A17='PTBA 2019 C2'!$AA$8:$AA$54))+SUM('PTBA 2019 C3'!$P$8:$P$57*('REPARTITION PAR NATURE PIP'!$A17='PTBA 2019 C3'!$AA$8:$AA$57))</f>
        <v>0</v>
      </c>
      <c r="H17" s="584">
        <f t="array" ref="H17">SUM('PTBA 2019 C1'!$R$8:$R$31*('REPARTITION PAR NATURE PIP'!A17='PTBA 2019 C1'!$AA$8:$AA$31))+SUM('PTBA 2019 C2'!$R$8:$R$54*('REPARTITION PAR NATURE PIP'!A17='PTBA 2019 C2'!$AA$8:$AA$54))+SUM('PTBA 2019 C3'!$R$8:$R$57*('REPARTITION PAR NATURE PIP'!A17='PTBA 2019 C3'!$AA$8:$AA$57))</f>
        <v>0</v>
      </c>
      <c r="I17" s="584">
        <f t="shared" si="0"/>
        <v>0</v>
      </c>
    </row>
    <row r="18" spans="1:10" x14ac:dyDescent="0.3">
      <c r="A18" s="582" t="s">
        <v>314</v>
      </c>
      <c r="B18" s="581" t="s">
        <v>30</v>
      </c>
      <c r="C18" s="585">
        <f>'Budget_Composante '!D8</f>
        <v>380707.24</v>
      </c>
      <c r="D18" s="585">
        <f>SUM(D9:D17)</f>
        <v>10450</v>
      </c>
      <c r="E18" s="585">
        <f>'Budget_Composante '!E8</f>
        <v>268262.5</v>
      </c>
      <c r="F18" s="585">
        <f>'Budget_Composante '!B8</f>
        <v>2080359.1628</v>
      </c>
      <c r="G18" s="585">
        <f>'Budget_Composante '!F8</f>
        <v>1550380.23</v>
      </c>
      <c r="H18" s="585">
        <f>SUM(H9:H17)</f>
        <v>113943.5</v>
      </c>
      <c r="I18" s="585">
        <f>SUM(I9:I14)</f>
        <v>4454102.6327999998</v>
      </c>
      <c r="J18" s="388"/>
    </row>
    <row r="20" spans="1:10" x14ac:dyDescent="0.3">
      <c r="B20" s="619" t="s">
        <v>334</v>
      </c>
      <c r="C20" s="618" t="s">
        <v>250</v>
      </c>
      <c r="D20" s="591" t="s">
        <v>548</v>
      </c>
    </row>
    <row r="21" spans="1:10" x14ac:dyDescent="0.3">
      <c r="A21" s="582">
        <v>61</v>
      </c>
      <c r="B21" s="583" t="s">
        <v>305</v>
      </c>
      <c r="C21" s="622">
        <f t="shared" ref="C21:C26" si="1">I9</f>
        <v>544282.88000000012</v>
      </c>
      <c r="D21" s="623">
        <f>C21/C27</f>
        <v>0.12219810023951906</v>
      </c>
    </row>
    <row r="22" spans="1:10" x14ac:dyDescent="0.3">
      <c r="A22" s="582">
        <v>62</v>
      </c>
      <c r="B22" s="583" t="s">
        <v>306</v>
      </c>
      <c r="C22" s="622">
        <f t="shared" si="1"/>
        <v>36000</v>
      </c>
      <c r="D22" s="623">
        <f>C22/C27</f>
        <v>8.0824361196565383E-3</v>
      </c>
    </row>
    <row r="23" spans="1:10" x14ac:dyDescent="0.3">
      <c r="A23" s="582">
        <v>21</v>
      </c>
      <c r="B23" s="583" t="s">
        <v>307</v>
      </c>
      <c r="C23" s="622">
        <f t="shared" si="1"/>
        <v>1591416.2528000001</v>
      </c>
      <c r="D23" s="623">
        <f>C23/C27</f>
        <v>0.3572922278621995</v>
      </c>
    </row>
    <row r="24" spans="1:10" x14ac:dyDescent="0.3">
      <c r="A24" s="582">
        <v>22</v>
      </c>
      <c r="B24" s="583" t="s">
        <v>308</v>
      </c>
      <c r="C24" s="622">
        <f t="shared" si="1"/>
        <v>1837399.5</v>
      </c>
      <c r="D24" s="623">
        <f>C24/C27</f>
        <v>0.41251844680663508</v>
      </c>
    </row>
    <row r="25" spans="1:10" x14ac:dyDescent="0.3">
      <c r="A25" s="582">
        <v>23</v>
      </c>
      <c r="B25" s="583" t="s">
        <v>309</v>
      </c>
      <c r="C25" s="622">
        <f t="shared" si="1"/>
        <v>367000</v>
      </c>
      <c r="D25" s="623">
        <f>C25/C27</f>
        <v>8.2395945997609701E-2</v>
      </c>
    </row>
    <row r="26" spans="1:10" x14ac:dyDescent="0.3">
      <c r="A26" s="582">
        <v>24</v>
      </c>
      <c r="B26" s="583" t="s">
        <v>310</v>
      </c>
      <c r="C26" s="622">
        <f t="shared" si="1"/>
        <v>78004</v>
      </c>
      <c r="D26" s="623">
        <f>C26/C27</f>
        <v>1.7512842974380237E-2</v>
      </c>
    </row>
    <row r="27" spans="1:10" x14ac:dyDescent="0.3">
      <c r="A27" s="591"/>
      <c r="B27" s="620" t="s">
        <v>17</v>
      </c>
      <c r="C27" s="621">
        <f>I18</f>
        <v>4454102.6327999998</v>
      </c>
    </row>
  </sheetData>
  <mergeCells count="8">
    <mergeCell ref="A2:I2"/>
    <mergeCell ref="A3:I3"/>
    <mergeCell ref="A4:I4"/>
    <mergeCell ref="B7:B8"/>
    <mergeCell ref="C7:C8"/>
    <mergeCell ref="D7:E7"/>
    <mergeCell ref="F7:G7"/>
    <mergeCell ref="I7:I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L11"/>
  <sheetViews>
    <sheetView zoomScale="110" zoomScaleNormal="110" workbookViewId="0">
      <selection activeCell="H18" sqref="H18"/>
    </sheetView>
  </sheetViews>
  <sheetFormatPr baseColWidth="10" defaultRowHeight="14.4" x14ac:dyDescent="0.3"/>
  <cols>
    <col min="1" max="1" width="15.5546875" customWidth="1"/>
    <col min="2" max="2" width="16" customWidth="1"/>
    <col min="3" max="3" width="13.88671875" bestFit="1" customWidth="1"/>
    <col min="4" max="5" width="16" customWidth="1"/>
    <col min="6" max="6" width="17.5546875" customWidth="1"/>
    <col min="7" max="7" width="14.5546875" customWidth="1"/>
    <col min="8" max="8" width="16.109375" customWidth="1"/>
    <col min="9" max="9" width="15.44140625" customWidth="1"/>
    <col min="10" max="10" width="15.44140625" bestFit="1" customWidth="1"/>
    <col min="11" max="11" width="13.5546875" bestFit="1" customWidth="1"/>
    <col min="12" max="12" width="16.88671875" bestFit="1" customWidth="1"/>
    <col min="13" max="13" width="15.44140625" bestFit="1" customWidth="1"/>
  </cols>
  <sheetData>
    <row r="1" spans="1:12" x14ac:dyDescent="0.3">
      <c r="A1" s="791" t="s">
        <v>26</v>
      </c>
      <c r="B1" s="791"/>
      <c r="C1" s="791"/>
      <c r="D1" s="791"/>
      <c r="E1" s="791"/>
      <c r="F1" s="791"/>
      <c r="G1" s="791"/>
      <c r="H1" s="791"/>
      <c r="I1" s="791"/>
      <c r="K1" s="66" t="s">
        <v>27</v>
      </c>
      <c r="L1" s="67">
        <v>530</v>
      </c>
    </row>
    <row r="2" spans="1:12" ht="15" thickBot="1" x14ac:dyDescent="0.35"/>
    <row r="3" spans="1:12" ht="15" customHeight="1" x14ac:dyDescent="0.3">
      <c r="A3" s="792" t="s">
        <v>28</v>
      </c>
      <c r="B3" s="794" t="s">
        <v>29</v>
      </c>
      <c r="C3" s="795"/>
      <c r="D3" s="795"/>
      <c r="E3" s="795"/>
      <c r="F3" s="795"/>
      <c r="G3" s="796"/>
      <c r="H3" s="797" t="s">
        <v>30</v>
      </c>
      <c r="I3" s="799" t="s">
        <v>31</v>
      </c>
      <c r="K3" s="66" t="s">
        <v>32</v>
      </c>
      <c r="L3" s="68">
        <f>H8*1000/L1</f>
        <v>8309627.6090566041</v>
      </c>
    </row>
    <row r="4" spans="1:12" ht="15.6" x14ac:dyDescent="0.3">
      <c r="A4" s="793"/>
      <c r="B4" s="648" t="s">
        <v>33</v>
      </c>
      <c r="C4" s="648" t="s">
        <v>34</v>
      </c>
      <c r="D4" s="648" t="s">
        <v>13</v>
      </c>
      <c r="E4" s="648" t="s">
        <v>14</v>
      </c>
      <c r="F4" s="648" t="s">
        <v>15</v>
      </c>
      <c r="G4" s="649" t="s">
        <v>16</v>
      </c>
      <c r="H4" s="798"/>
      <c r="I4" s="800"/>
    </row>
    <row r="5" spans="1:12" ht="24.6" customHeight="1" x14ac:dyDescent="0.3">
      <c r="A5" s="73" t="s">
        <v>35</v>
      </c>
      <c r="B5" s="74">
        <f>'PTBA 2019 C1'!H32</f>
        <v>562302.41280000005</v>
      </c>
      <c r="C5" s="74">
        <f>'PTBA 2019 C1'!J32</f>
        <v>0</v>
      </c>
      <c r="D5" s="74">
        <f>'PTBA 2019 C1'!L32</f>
        <v>85187.44</v>
      </c>
      <c r="E5" s="74">
        <f>'PTBA 2019 C1'!N32</f>
        <v>4500</v>
      </c>
      <c r="F5" s="74">
        <f>'PTBA 2019 C1'!P32</f>
        <v>342848.56</v>
      </c>
      <c r="G5" s="74">
        <f>'PTBA 2019 C1'!R32</f>
        <v>0</v>
      </c>
      <c r="H5" s="75">
        <f>SUM(B5:G5)</f>
        <v>994838.41280000005</v>
      </c>
      <c r="I5" s="76">
        <f>H5/$H$8*100</f>
        <v>22.58890166161979</v>
      </c>
      <c r="J5" s="388"/>
    </row>
    <row r="6" spans="1:12" ht="23.4" customHeight="1" x14ac:dyDescent="0.3">
      <c r="A6" s="73" t="s">
        <v>36</v>
      </c>
      <c r="B6" s="74">
        <f>'PTBA 2019 C2'!H55</f>
        <v>1004567</v>
      </c>
      <c r="C6" s="74">
        <f>'PTBA 2019 C2'!J55</f>
        <v>10450</v>
      </c>
      <c r="D6" s="74">
        <f>'PTBA 2019 C2'!L55</f>
        <v>282203.13</v>
      </c>
      <c r="E6" s="74">
        <f>'PTBA 2019 C2'!N55</f>
        <v>257762.5</v>
      </c>
      <c r="F6" s="74">
        <f>'PTBA 2019 C2'!P55</f>
        <v>1207531.67</v>
      </c>
      <c r="G6" s="74">
        <f>'PTBA 2019 C2'!R55</f>
        <v>113943.5</v>
      </c>
      <c r="H6" s="75">
        <f>SUM(B6:G6)</f>
        <v>2876457.8</v>
      </c>
      <c r="I6" s="76">
        <f>H6/$H$8*100</f>
        <v>65.313141854989695</v>
      </c>
      <c r="J6" s="388"/>
    </row>
    <row r="7" spans="1:12" ht="20.399999999999999" customHeight="1" x14ac:dyDescent="0.3">
      <c r="A7" s="73" t="s">
        <v>37</v>
      </c>
      <c r="B7" s="74">
        <f>'PTBA 2019 C3'!H58</f>
        <v>513489.75</v>
      </c>
      <c r="C7" s="74">
        <f>'PTBA 2019 C3'!J56</f>
        <v>0</v>
      </c>
      <c r="D7" s="74">
        <f>'PTBA 2019 C3'!L58</f>
        <v>13316.67</v>
      </c>
      <c r="E7" s="74">
        <f>'PTBA 2019 C3'!N58</f>
        <v>6000</v>
      </c>
      <c r="F7" s="74">
        <f>'PTBA 2019 C3'!P58</f>
        <v>0</v>
      </c>
      <c r="G7" s="74">
        <f>'PTBA 2019 C3'!R58</f>
        <v>0</v>
      </c>
      <c r="H7" s="75">
        <f>SUM(B7:G7)</f>
        <v>532806.42000000004</v>
      </c>
      <c r="I7" s="76">
        <f>H7/$H$8*100</f>
        <v>12.097956483390519</v>
      </c>
      <c r="J7" s="388"/>
    </row>
    <row r="8" spans="1:12" ht="21" customHeight="1" thickBot="1" x14ac:dyDescent="0.35">
      <c r="A8" s="77" t="s">
        <v>17</v>
      </c>
      <c r="B8" s="78">
        <f t="shared" ref="B8:G8" si="0">SUM(B5:B7)</f>
        <v>2080359.1628</v>
      </c>
      <c r="C8" s="78">
        <f t="shared" si="0"/>
        <v>10450</v>
      </c>
      <c r="D8" s="78">
        <f t="shared" si="0"/>
        <v>380707.24</v>
      </c>
      <c r="E8" s="78">
        <f t="shared" si="0"/>
        <v>268262.5</v>
      </c>
      <c r="F8" s="78">
        <f t="shared" si="0"/>
        <v>1550380.23</v>
      </c>
      <c r="G8" s="78">
        <f t="shared" si="0"/>
        <v>113943.5</v>
      </c>
      <c r="H8" s="81">
        <f>SUM(B8:G8)</f>
        <v>4404102.6327999998</v>
      </c>
      <c r="I8" s="82">
        <f>SUM(I5:I7)</f>
        <v>100</v>
      </c>
      <c r="J8" s="388"/>
    </row>
    <row r="9" spans="1:12" ht="24" customHeight="1" thickBot="1" x14ac:dyDescent="0.35">
      <c r="A9" s="79" t="s">
        <v>10</v>
      </c>
      <c r="B9" s="384">
        <f>B8/H8*100</f>
        <v>47.236845647199836</v>
      </c>
      <c r="C9" s="385">
        <f>C8/H8*100</f>
        <v>0.23727875736075194</v>
      </c>
      <c r="D9" s="385">
        <f>D8/H8*100</f>
        <v>8.6443771124824451</v>
      </c>
      <c r="E9" s="385">
        <f>E8/H8*100</f>
        <v>6.0911954685635132</v>
      </c>
      <c r="F9" s="386">
        <f>F8/H8*100</f>
        <v>35.20309037426572</v>
      </c>
      <c r="G9" s="385">
        <f>G8/H8*100</f>
        <v>2.5872126401277358</v>
      </c>
      <c r="H9" s="80"/>
      <c r="I9" s="80"/>
      <c r="J9" s="387"/>
      <c r="L9" s="69"/>
    </row>
    <row r="10" spans="1:12" x14ac:dyDescent="0.3">
      <c r="F10" s="70"/>
      <c r="J10" s="495"/>
    </row>
    <row r="11" spans="1:12" x14ac:dyDescent="0.3">
      <c r="B11" s="388"/>
      <c r="D11" s="388"/>
      <c r="E11" s="388"/>
      <c r="F11" s="388"/>
      <c r="G11" s="388"/>
      <c r="I11" s="495">
        <f>'PTBA 2019 C3'!S30*100/H8</f>
        <v>0.6946554735612428</v>
      </c>
    </row>
  </sheetData>
  <mergeCells count="5">
    <mergeCell ref="A1:I1"/>
    <mergeCell ref="A3:A4"/>
    <mergeCell ref="B3:G3"/>
    <mergeCell ref="H3:H4"/>
    <mergeCell ref="I3:I4"/>
  </mergeCells>
  <pageMargins left="0.7" right="0.7" top="0.75" bottom="0.75" header="0.3" footer="0.3"/>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N13"/>
  <sheetViews>
    <sheetView zoomScale="140" zoomScaleNormal="140" workbookViewId="0">
      <selection activeCell="H12" sqref="H12"/>
    </sheetView>
  </sheetViews>
  <sheetFormatPr baseColWidth="10" defaultRowHeight="14.4" x14ac:dyDescent="0.3"/>
  <cols>
    <col min="1" max="1" width="4.5546875" customWidth="1"/>
    <col min="2" max="2" width="13" customWidth="1"/>
    <col min="3" max="3" width="16.109375" customWidth="1"/>
    <col min="4" max="4" width="11.44140625" customWidth="1"/>
    <col min="5" max="5" width="13.109375" customWidth="1"/>
    <col min="6" max="6" width="12.109375" customWidth="1"/>
    <col min="7" max="7" width="12.88671875" bestFit="1" customWidth="1"/>
    <col min="8" max="8" width="13" customWidth="1"/>
    <col min="9" max="9" width="14.5546875" bestFit="1" customWidth="1"/>
    <col min="10" max="10" width="11.109375" customWidth="1"/>
    <col min="11" max="11" width="17.44140625" customWidth="1"/>
    <col min="12" max="12" width="16.5546875" customWidth="1"/>
    <col min="14" max="14" width="16.44140625" customWidth="1"/>
  </cols>
  <sheetData>
    <row r="1" spans="1:14" ht="15" thickBot="1" x14ac:dyDescent="0.35"/>
    <row r="2" spans="1:14" ht="15" thickBot="1" x14ac:dyDescent="0.35">
      <c r="A2" s="801" t="s">
        <v>38</v>
      </c>
      <c r="B2" s="802"/>
      <c r="C2" s="805" t="s">
        <v>39</v>
      </c>
      <c r="D2" s="805"/>
      <c r="E2" s="805"/>
      <c r="F2" s="805"/>
      <c r="G2" s="805"/>
      <c r="H2" s="806"/>
      <c r="I2" s="807" t="s">
        <v>40</v>
      </c>
      <c r="J2" s="809" t="s">
        <v>41</v>
      </c>
    </row>
    <row r="3" spans="1:14" s="71" customFormat="1" ht="26.1" customHeight="1" thickBot="1" x14ac:dyDescent="0.35">
      <c r="A3" s="803"/>
      <c r="B3" s="804"/>
      <c r="C3" s="650" t="s">
        <v>33</v>
      </c>
      <c r="D3" s="650" t="s">
        <v>34</v>
      </c>
      <c r="E3" s="650" t="s">
        <v>13</v>
      </c>
      <c r="F3" s="650" t="s">
        <v>14</v>
      </c>
      <c r="G3" s="650" t="s">
        <v>15</v>
      </c>
      <c r="H3" s="651" t="s">
        <v>16</v>
      </c>
      <c r="I3" s="808"/>
      <c r="J3" s="810"/>
    </row>
    <row r="4" spans="1:14" ht="24" x14ac:dyDescent="0.3">
      <c r="A4" s="544">
        <v>1</v>
      </c>
      <c r="B4" s="545" t="s">
        <v>42</v>
      </c>
      <c r="C4" s="546">
        <f>SUMIF('PTBA 2019 C1'!$Z$7:$Z$31,A4,'PTBA 2019 C1'!$H$7:$H$31)+SUMIF('PTBA 2019 C2'!$Z$8:$Z$54,A4,'PTBA 2019 C2'!$H$8:$H$54)+SUMIF('PTBA 2019 C3'!$Z$8:$Z$57,A4,'PTBA 2019 C3'!$H$8:$H$57)</f>
        <v>1031553.6928000001</v>
      </c>
      <c r="D4" s="546">
        <f>SUMIF('PTBA 2019 C1'!$Z$7:$Z$31,A4,'PTBA 2019 C1'!$J$7:$J$31)+SUMIF('PTBA 2019 C2'!$Z$8:$Z$54,A4,'PTBA 2019 C2'!$J$8:$J$54)+SUMIF('PTBA 2019 C3'!$Z$8:$Z$57,A4,'PTBA 2019 C3'!$J$8:$J$57)</f>
        <v>0</v>
      </c>
      <c r="E4" s="546">
        <f>SUMIF('PTBA 2019 C1'!$Z$7:$Z$31,A4,'PTBA 2019 C1'!$L$7:$L$31)+SUMIF('PTBA 2019 C2'!$Z$8:$Z$54,A4,'PTBA 2019 C2'!$L$8:$L$54)+SUMIF('PTBA 2019 C3'!$Z$8:$Z$57,A4,'PTBA 2019 C3'!$L$8:$L$57)</f>
        <v>343513.38999999996</v>
      </c>
      <c r="F4" s="546">
        <f>SUMIF('PTBA 2019 C1'!$Z$7:$Z$31,A4,'PTBA 2019 C1'!$N$7:$N$31)+SUMIF('PTBA 2019 C2'!$Z$8:$Z$54,A4,'PTBA 2019 C2'!$N$8:$N$54)+SUMIF('PTBA 2019 C3'!$Z$8:$Z$57,A4,'PTBA 2019 C3'!$N$8:$N$57)</f>
        <v>162100</v>
      </c>
      <c r="G4" s="546">
        <f>SUMIF('PTBA 2019 C1'!$Z$7:$Z$31,A4,'PTBA 2019 C1'!$P$7:$P$31)+SUMIF('PTBA 2019 C2'!$Z$8:$Z$54,A4,'PTBA 2019 C2'!$P$8:$P$54)+SUMIF('PTBA 2019 C3'!$Z$8:$Z$57,A4,'PTBA 2019 C3'!$P$8:$P$57)</f>
        <v>1416145.33</v>
      </c>
      <c r="H4" s="547">
        <f>SUMIF('PTBA 2019 C1'!$Z$7:$Z$31,A4,'PTBA 2019 C1'!$R$7:$R$31)+SUMIF('PTBA 2019 C2'!$Z$9:$Z$54,A4,'PTBA 2019 C2'!$R$9:$R$54)+SUMIF('PTBA 2019 C3'!$Z$8:$Z$57,A4,'PTBA 2019 C3'!$R$8:$R$57)</f>
        <v>113943.5</v>
      </c>
      <c r="I4" s="548">
        <f>SUM(C4:H4)</f>
        <v>3067255.9128</v>
      </c>
      <c r="J4" s="549">
        <f>+I4/I9*100</f>
        <v>68.863611049568902</v>
      </c>
      <c r="L4" s="429"/>
      <c r="M4" s="393"/>
      <c r="N4" s="392"/>
    </row>
    <row r="5" spans="1:14" x14ac:dyDescent="0.3">
      <c r="A5" s="550">
        <v>2</v>
      </c>
      <c r="B5" s="551" t="s">
        <v>43</v>
      </c>
      <c r="C5" s="546">
        <f>SUMIF('PTBA 2019 C1'!$Z$7:$Z$31,A5,'PTBA 2019 C1'!$H$7:$H$31)+SUMIF('PTBA 2019 C2'!$Z$9:$Z$54,A5,'PTBA 2019 C2'!$H$9:$H$54)+SUMIF('PTBA 2019 C3'!$Z$8:$Z$57,A5,'PTBA 2019 C3'!$H$8:$H$57)</f>
        <v>398109.39</v>
      </c>
      <c r="D5" s="546">
        <f>SUMIF('PTBA 2019 C1'!$Z$7:$Z$31,A5,'PTBA 2019 C1'!$J$7:$J$31)+SUMIF('PTBA 2019 C2'!$Z$9:$Z$54,A5,'PTBA 2019 C2'!$J$9:$J$54)+SUMIF('PTBA 2019 C3'!$Z$8:$Z$57,A5,'PTBA 2019 C3'!$J$8:$J$57)</f>
        <v>10450</v>
      </c>
      <c r="E5" s="546">
        <f>SUMIF('PTBA 2019 C1'!$Z$7:$Z$31,A5,'PTBA 2019 C1'!$L$7:$L$31)+SUMIF('PTBA 2019 C2'!$Z$8:$Z$54,A5,'PTBA 2019 C2'!$L$8:$L$54)+SUMIF('PTBA 2019 C3'!$Z$8:$Z$57,A5,'PTBA 2019 C3'!$L$8:$L$57)</f>
        <v>33593.85</v>
      </c>
      <c r="F5" s="546">
        <f>SUMIF('PTBA 2019 C1'!$Z$7:$Z$31,A5,'PTBA 2019 C1'!$N$7:$N$31)+SUMIF('PTBA 2019 C2'!$Z$9:$Z$54,A5,'PTBA 2019 C2'!$N$9:$N$54)+SUMIF('PTBA 2019 C3'!$Z$8:$Z$57,A5,'PTBA 2019 C3'!$N$8:$N$57)</f>
        <v>104662.5</v>
      </c>
      <c r="G5" s="546">
        <f>SUMIF('PTBA 2019 C1'!$Z$7:$Z$31,A5,'PTBA 2019 C1'!$P$7:$P$31)+SUMIF('PTBA 2019 C2'!$Z$8:$Z$54,A5,'PTBA 2019 C2'!$P$8:$P$54)+SUMIF('PTBA 2019 C3'!$Z$8:$Z$57,A5,'PTBA 2019 C3'!$P$8:$P$57)</f>
        <v>114410.09999999999</v>
      </c>
      <c r="H5" s="547">
        <f>SUMIF('PTBA 2019 C1'!$Z$7:$Z$31,A5,'PTBA 2019 C1'!$R$7:$R$31)+SUMIF('PTBA 2019 C2'!$Z$9:$Z$54,A5,'PTBA 2019 C2'!$R$9:$R$54)+SUMIF('PTBA 2019 C3'!$Z$8:$Z$57,A5,'PTBA 2019 C3'!$R$8:$R$57)</f>
        <v>0</v>
      </c>
      <c r="I5" s="548">
        <f>SUM(C5:H5)</f>
        <v>661225.84</v>
      </c>
      <c r="J5" s="552">
        <f>+I5/I9*100</f>
        <v>14.84532114573954</v>
      </c>
      <c r="L5" s="429"/>
      <c r="M5" s="393"/>
      <c r="N5" s="392"/>
    </row>
    <row r="6" spans="1:14" ht="24" x14ac:dyDescent="0.3">
      <c r="A6" s="550">
        <v>3</v>
      </c>
      <c r="B6" s="551" t="s">
        <v>44</v>
      </c>
      <c r="C6" s="546">
        <f>SUMIF('PTBA 2019 C1'!$Z$7:$Z$31,A6,'PTBA 2019 C1'!$H$7:$H$31)+SUMIF('PTBA 2019 C2'!$Z$9:$Z$54,A6,'PTBA 2019 C2'!$H$9:$H$54)+SUMIF('PTBA 2019 C3'!$Z$8:$Z$57,A6,'PTBA 2019 C3'!$H$8:$H$57)</f>
        <v>0</v>
      </c>
      <c r="D6" s="546">
        <f>SUMIF('PTBA 2019 C1'!$Z$7:$Z$31,A6,'PTBA 2019 C1'!$J$7:$J$31)+SUMIF('PTBA 2019 C2'!$Z$9:$Z$54,A6,'PTBA 2019 C2'!$J$9:$J$54)+SUMIF('PTBA 2019 C3'!$Z$8:$Z$57,A6,'PTBA 2019 C3'!$J$8:$J$57)</f>
        <v>0</v>
      </c>
      <c r="E6" s="546">
        <f>SUMIF('PTBA 2019 C1'!$Z$7:$Z$31,A6,'PTBA 2019 C1'!$L$7:$L$31)+SUMIF('PTBA 2019 C2'!$Z$8:$Z$54,A6,'PTBA 2019 C2'!$L$8:$L$54)+SUMIF('PTBA 2019 C3'!$Z$8:$Z$57,A6,'PTBA 2019 C3'!$L$8:$L$57)</f>
        <v>0</v>
      </c>
      <c r="F6" s="546">
        <f>SUMIF('PTBA 2019 C1'!$Z$7:$Z$31,A6,'PTBA 2019 C1'!$N$7:$N$31)+SUMIF('PTBA 2019 C2'!$Z$8:$Z$54,A6,'PTBA 2019 C2'!$N$8:$N$54)+SUMIF('PTBA 2019 C3'!$Z$8:$Z$57,A6,'PTBA 2019 C3'!$N$8:$N$57)</f>
        <v>0</v>
      </c>
      <c r="G6" s="546">
        <f>SUMIF('PTBA 2019 C1'!$Z$7:$Z$31,A6,'PTBA 2019 C1'!$P$7:$P$31)+SUMIF('PTBA 2019 C2'!$Z$8:$Z$54,A6,'PTBA 2019 C2'!$P$8:$P$54)+SUMIF('PTBA 2019 C3'!$Z$8:$Z$57,A6,'PTBA 2019 C3'!$P$8:$P$57)</f>
        <v>0</v>
      </c>
      <c r="H6" s="547">
        <f>SUMIF('PTBA 2019 C1'!$Z$7:$Z$30,A6,'PTBA 2019 C1'!$R$7:$R$30)+SUMIF('PTBA 2019 C2'!$Z$9:$Z$54,A6,'PTBA 2019 C2'!$R$9:$R$54)+SUMIF('PTBA 2019 C3'!$Z$8:$Z$51,A6,'PTBA 2019 C3'!$R$8:$R$51)</f>
        <v>0</v>
      </c>
      <c r="I6" s="548">
        <f>SUM(C6:H6)</f>
        <v>0</v>
      </c>
      <c r="J6" s="552">
        <f>+I6/I9%</f>
        <v>0</v>
      </c>
      <c r="L6" s="429"/>
      <c r="M6" s="393"/>
      <c r="N6" s="392"/>
    </row>
    <row r="7" spans="1:14" x14ac:dyDescent="0.3">
      <c r="A7" s="550">
        <v>4</v>
      </c>
      <c r="B7" s="551" t="s">
        <v>45</v>
      </c>
      <c r="C7" s="546">
        <f>SUMIF('PTBA 2019 C1'!$Z$7:$Z$31,A7,'PTBA 2019 C1'!$H$7:$H$31)+SUMIF('PTBA 2019 C2'!$Z$9:$Z$54,A7,'PTBA 2019 C2'!$H$9:$H$54)+SUMIF('PTBA 2019 C3'!$Z$8:$Z$57,A7,'PTBA 2019 C3'!$H$8:$H$57)</f>
        <v>100654</v>
      </c>
      <c r="D7" s="546">
        <f>SUMIF('PTBA 2019 C1'!$Z$7:$Z$30,A7,'PTBA 2019 C1'!$J$7:$J$30)+SUMIF('PTBA 2019 C2'!$Z$9:$Z$54,A7,'PTBA 2019 C2'!$J$9:$J$54)+SUMIF('PTBA 2019 C3'!$Z$8:$Z$57,A7,'PTBA 2019 C3'!$J$8:$J$57)</f>
        <v>0</v>
      </c>
      <c r="E7" s="546">
        <f>SUMIF('PTBA 2019 C1'!$Z$7:$Z$31,A7,'PTBA 2019 C1'!$L$7:$L$31)+SUMIF('PTBA 2019 C2'!$Z$8:$Z$54,A7,'PTBA 2019 C2'!$L$8:$L$54)+SUMIF('PTBA 2019 C3'!$Z$8:$Z$57,A7,'PTBA 2019 C3'!$L$8:$L$57)</f>
        <v>3600</v>
      </c>
      <c r="F7" s="546">
        <f>SUMIF('PTBA 2019 C1'!$Z$7:$Z$31,A7,'PTBA 2019 C1'!$N$7:$N$31)+SUMIF('PTBA 2019 C2'!$Z$8:$Z$54,A7,'PTBA 2019 C2'!$N$8:$N$54)+SUMIF('PTBA 2019 C3'!$Z$8:$Z$57,A7,'PTBA 2019 C3'!$N$8:$N$57)</f>
        <v>45000</v>
      </c>
      <c r="G7" s="546">
        <f>SUMIF('PTBA 2019 C1'!$Z$7:$Z$31,A7,'PTBA 2019 C1'!$P$7:$P$31)+SUMIF('PTBA 2019 C2'!$Z$8:$Z$54,A7,'PTBA 2019 C2'!$P$8:$P$54)+SUMIF('PTBA 2019 C3'!$Z$8:$Z$57,A7,'PTBA 2019 C3'!$P$8:$P$57)</f>
        <v>0</v>
      </c>
      <c r="H7" s="547">
        <f>SUMIF('PTBA 2019 C1'!$Z$7:$Z$31,A7,'PTBA 2019 C1'!$R$7:$R$31)+SUMIF('PTBA 2019 C2'!$Z$9:$Z$54,A7,'PTBA 2019 C2'!$R$9:$R$54)+SUMIF('PTBA 2019 C3'!$Z$8:$Z$57,A7,'PTBA 2019 C3'!$R$8:$R$57)</f>
        <v>0</v>
      </c>
      <c r="I7" s="548">
        <f>SUM(C7:H7)</f>
        <v>149254</v>
      </c>
      <c r="J7" s="552">
        <f>+I7/I9%</f>
        <v>3.3509331127867137</v>
      </c>
      <c r="L7" s="429"/>
      <c r="M7" s="393"/>
      <c r="N7" s="392"/>
    </row>
    <row r="8" spans="1:14" ht="33" customHeight="1" thickBot="1" x14ac:dyDescent="0.35">
      <c r="A8" s="553">
        <v>5</v>
      </c>
      <c r="B8" s="554" t="s">
        <v>46</v>
      </c>
      <c r="C8" s="546">
        <f>SUMIF('PTBA 2019 C1'!$Z$7:$Z$31,A8,'PTBA 2019 C1'!$H$7:$H$31)+SUMIF('PTBA 2019 C2'!$Z$9:$Z$54,A8,'PTBA 2019 C2'!$H$9:$H$54)+SUMIF('PTBA 2019 C3'!$Z$8:$Z$57,A8,'PTBA 2019 C3'!$H$8:$H$57)</f>
        <v>550042.08000000007</v>
      </c>
      <c r="D8" s="546">
        <f>SUMIF('PTBA 2019 C1'!$Z$7:$Z$31,A8,'PTBA 2019 C1'!$J$7:$J$31)+SUMIF('PTBA 2019 C2'!$Z$9:$Z$54,A8,'PTBA 2019 C2'!$J$9:$J$54)+SUMIF('PTBA 2019 C3'!$Z$8:$Z$57,A8,'PTBA 2019 C3'!$J$8:$J$57)</f>
        <v>0</v>
      </c>
      <c r="E8" s="546">
        <f>SUMIF('PTBA 2019 C1'!$Z$7:$Z$31,A8,'PTBA 2019 C1'!$L$7:$L$31)+SUMIF('PTBA 2019 C2'!$Z$8:$Z$54,A8,'PTBA 2019 C2'!$L$8:$L$54)+SUMIF('PTBA 2019 C3'!$Z$8:$Z$57,A8,'PTBA 2019 C3'!$L$8:$L$57)</f>
        <v>0</v>
      </c>
      <c r="F8" s="546">
        <f>SUMIF('PTBA 2019 C1'!$Z$7:$Z$31,A8,'PTBA 2019 C1'!$N$7:$N$31)+SUMIF('PTBA 2019 C2'!$Z$8:$Z$54,A8,'PTBA 2019 C2'!$N$8:$N$54)+SUMIF('PTBA 2019 C3'!$Z$8:$Z$57,A8,'PTBA 2019 C3'!$N$8:$N$57)</f>
        <v>6500</v>
      </c>
      <c r="G8" s="546">
        <f>SUMIF('PTBA 2019 C1'!$Z$7:$Z$31,A8,'PTBA 2019 C1'!$P$7:$P$31)+SUMIF('PTBA 2019 C2'!$Z$8:$Z$54,A8,'PTBA 2019 C2'!$P$8:$P$54)+SUMIF('PTBA 2019 C3'!$Z$8:$Z$57,A8,'PTBA 2019 C3'!$P$8:$P$57)</f>
        <v>19824.800000000003</v>
      </c>
      <c r="H8" s="547">
        <f>SUMIF('PTBA 2019 C1'!$Z$7:$Z$31,A8,'PTBA 2019 C1'!$R$7:$R$31)+SUMIF('PTBA 2019 C2'!$Z$9:$Z$54,A8,'PTBA 2019 C2'!$R$9:$R$54)+SUMIF('PTBA 2019 C3'!$Z$8:$Z$57,A8,'PTBA 2019 C3'!$R$8:$R$57)</f>
        <v>0</v>
      </c>
      <c r="I8" s="548">
        <f>SUM(C8:H8)</f>
        <v>576366.88000000012</v>
      </c>
      <c r="J8" s="555">
        <f>+I8/I9%</f>
        <v>12.94013469190485</v>
      </c>
      <c r="L8" s="429"/>
      <c r="M8" s="393"/>
      <c r="N8" s="392"/>
    </row>
    <row r="9" spans="1:14" ht="23.25" customHeight="1" thickBot="1" x14ac:dyDescent="0.35">
      <c r="A9" s="556"/>
      <c r="B9" s="557" t="s">
        <v>47</v>
      </c>
      <c r="C9" s="558">
        <f>SUM(C4:C8)</f>
        <v>2080359.1628</v>
      </c>
      <c r="D9" s="558">
        <f t="shared" ref="D9:J9" si="0">SUM(D4:D8)</f>
        <v>10450</v>
      </c>
      <c r="E9" s="558">
        <f t="shared" si="0"/>
        <v>380707.23999999993</v>
      </c>
      <c r="F9" s="558">
        <f t="shared" si="0"/>
        <v>318262.5</v>
      </c>
      <c r="G9" s="558">
        <f t="shared" si="0"/>
        <v>1550380.2300000002</v>
      </c>
      <c r="H9" s="559">
        <f t="shared" si="0"/>
        <v>113943.5</v>
      </c>
      <c r="I9" s="560">
        <f>SUM(I4:I8)</f>
        <v>4454102.6327999998</v>
      </c>
      <c r="J9" s="561">
        <f t="shared" si="0"/>
        <v>100.00000000000001</v>
      </c>
      <c r="K9" s="72"/>
      <c r="L9" s="430"/>
      <c r="M9" s="430"/>
      <c r="N9" s="430"/>
    </row>
    <row r="10" spans="1:14" x14ac:dyDescent="0.3">
      <c r="L10" s="388"/>
      <c r="M10" s="388"/>
      <c r="N10" s="388"/>
    </row>
    <row r="11" spans="1:14" x14ac:dyDescent="0.3">
      <c r="C11" s="387"/>
      <c r="D11" s="387"/>
      <c r="E11" s="387"/>
      <c r="F11" s="387"/>
      <c r="G11" s="387"/>
      <c r="H11" s="387"/>
      <c r="I11" s="387"/>
      <c r="K11">
        <f>'PTBA 2019 C3'!F30*100/'Budget_Composante '!H8</f>
        <v>0.6946554735612428</v>
      </c>
    </row>
    <row r="12" spans="1:14" x14ac:dyDescent="0.3">
      <c r="C12" s="387"/>
      <c r="L12" s="388"/>
      <c r="M12" s="388"/>
      <c r="N12" s="388"/>
    </row>
    <row r="13" spans="1:14" x14ac:dyDescent="0.3">
      <c r="C13" s="428"/>
      <c r="D13" s="427"/>
      <c r="E13" s="427"/>
      <c r="F13" s="427"/>
      <c r="G13" s="427"/>
      <c r="H13" s="427"/>
      <c r="I13" s="427"/>
    </row>
  </sheetData>
  <mergeCells count="4">
    <mergeCell ref="A2:B3"/>
    <mergeCell ref="C2:H2"/>
    <mergeCell ref="I2:I3"/>
    <mergeCell ref="J2:J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2:N18"/>
  <sheetViews>
    <sheetView topLeftCell="A7" zoomScale="85" zoomScaleNormal="85" workbookViewId="0">
      <selection activeCell="A2" sqref="A2:J13"/>
    </sheetView>
  </sheetViews>
  <sheetFormatPr baseColWidth="10" defaultRowHeight="14.4" x14ac:dyDescent="0.3"/>
  <cols>
    <col min="1" max="1" width="4.5546875" customWidth="1"/>
    <col min="2" max="2" width="13" customWidth="1"/>
    <col min="3" max="3" width="17.5546875" customWidth="1"/>
    <col min="4" max="4" width="11.44140625" customWidth="1"/>
    <col min="5" max="5" width="12.88671875" customWidth="1"/>
    <col min="6" max="6" width="12.109375" customWidth="1"/>
    <col min="7" max="7" width="12.5546875" customWidth="1"/>
    <col min="8" max="8" width="14.44140625" customWidth="1"/>
    <col min="9" max="9" width="13.88671875" customWidth="1"/>
    <col min="10" max="10" width="11.109375" customWidth="1"/>
    <col min="11" max="11" width="17.44140625" customWidth="1"/>
    <col min="12" max="12" width="16.5546875" customWidth="1"/>
    <col min="14" max="14" width="16.44140625" customWidth="1"/>
  </cols>
  <sheetData>
    <row r="2" spans="1:14" x14ac:dyDescent="0.3">
      <c r="A2" s="811" t="s">
        <v>38</v>
      </c>
      <c r="B2" s="811"/>
      <c r="C2" s="812" t="s">
        <v>39</v>
      </c>
      <c r="D2" s="812"/>
      <c r="E2" s="812"/>
      <c r="F2" s="812"/>
      <c r="G2" s="812"/>
      <c r="H2" s="812"/>
      <c r="I2" s="813" t="s">
        <v>40</v>
      </c>
      <c r="J2" s="811" t="s">
        <v>41</v>
      </c>
    </row>
    <row r="3" spans="1:14" s="71" customFormat="1" ht="26.1" customHeight="1" x14ac:dyDescent="0.3">
      <c r="A3" s="811"/>
      <c r="B3" s="811"/>
      <c r="C3" s="652" t="s">
        <v>33</v>
      </c>
      <c r="D3" s="652" t="s">
        <v>34</v>
      </c>
      <c r="E3" s="652" t="s">
        <v>13</v>
      </c>
      <c r="F3" s="652" t="s">
        <v>14</v>
      </c>
      <c r="G3" s="652" t="s">
        <v>15</v>
      </c>
      <c r="H3" s="656" t="s">
        <v>16</v>
      </c>
      <c r="I3" s="813"/>
      <c r="J3" s="811"/>
    </row>
    <row r="4" spans="1:14" s="71" customFormat="1" ht="26.1" customHeight="1" x14ac:dyDescent="0.3">
      <c r="A4" s="818" t="s">
        <v>48</v>
      </c>
      <c r="B4" s="819"/>
      <c r="C4" s="819"/>
      <c r="D4" s="819"/>
      <c r="E4" s="819"/>
      <c r="F4" s="819"/>
      <c r="G4" s="819"/>
      <c r="H4" s="819"/>
      <c r="I4" s="819"/>
      <c r="J4" s="820"/>
    </row>
    <row r="5" spans="1:14" ht="24" x14ac:dyDescent="0.3">
      <c r="A5" s="562">
        <v>1</v>
      </c>
      <c r="B5" s="563" t="s">
        <v>42</v>
      </c>
      <c r="C5" s="564">
        <f>'Budget-Categorie '!C4</f>
        <v>1031553.6928000001</v>
      </c>
      <c r="D5" s="564">
        <f>'Budget-Categorie '!D4</f>
        <v>0</v>
      </c>
      <c r="E5" s="564">
        <f>'Budget-Categorie '!E4</f>
        <v>343513.38999999996</v>
      </c>
      <c r="F5" s="564">
        <f>'Budget-Categorie '!F4</f>
        <v>162100</v>
      </c>
      <c r="G5" s="564">
        <f>'Budget-Categorie '!G4</f>
        <v>1416145.33</v>
      </c>
      <c r="H5" s="564">
        <f>'Budget-Categorie '!H4</f>
        <v>113943.5</v>
      </c>
      <c r="I5" s="565">
        <f>SUM(C5:H5)</f>
        <v>3067255.9128</v>
      </c>
      <c r="J5" s="566">
        <f>+I5/I13*100</f>
        <v>68.863611049568902</v>
      </c>
      <c r="K5" s="392"/>
      <c r="L5" s="72"/>
    </row>
    <row r="6" spans="1:14" x14ac:dyDescent="0.3">
      <c r="A6" s="562">
        <v>2</v>
      </c>
      <c r="B6" s="563" t="s">
        <v>43</v>
      </c>
      <c r="C6" s="564">
        <f>'Budget-Categorie '!C5</f>
        <v>398109.39</v>
      </c>
      <c r="D6" s="564">
        <f>'Budget-Categorie '!D5</f>
        <v>10450</v>
      </c>
      <c r="E6" s="564">
        <f>'Budget-Categorie '!E5</f>
        <v>33593.85</v>
      </c>
      <c r="F6" s="564">
        <f>'Budget-Categorie '!F5</f>
        <v>104662.5</v>
      </c>
      <c r="G6" s="564">
        <f>'Budget-Categorie '!G5</f>
        <v>114410.09999999999</v>
      </c>
      <c r="H6" s="564">
        <f>'Budget-Categorie '!H5</f>
        <v>0</v>
      </c>
      <c r="I6" s="565">
        <f t="shared" ref="I6:I11" si="0">SUM(C6:H6)</f>
        <v>661225.84</v>
      </c>
      <c r="J6" s="566">
        <f>+I6/I13*100</f>
        <v>14.84532114573954</v>
      </c>
      <c r="K6" s="392"/>
      <c r="L6" s="72"/>
    </row>
    <row r="7" spans="1:14" ht="24" x14ac:dyDescent="0.3">
      <c r="A7" s="562">
        <v>3</v>
      </c>
      <c r="B7" s="563" t="s">
        <v>44</v>
      </c>
      <c r="C7" s="564">
        <f>'Budget-Categorie '!C6</f>
        <v>0</v>
      </c>
      <c r="D7" s="564">
        <f>'Budget-Categorie '!D6</f>
        <v>0</v>
      </c>
      <c r="E7" s="564">
        <f>'Budget-Categorie '!E6</f>
        <v>0</v>
      </c>
      <c r="F7" s="564">
        <f>'Budget-Categorie '!F6</f>
        <v>0</v>
      </c>
      <c r="G7" s="564">
        <f>'Budget-Categorie '!G6</f>
        <v>0</v>
      </c>
      <c r="H7" s="564">
        <f>'Budget-Categorie '!H6</f>
        <v>0</v>
      </c>
      <c r="I7" s="565">
        <f t="shared" si="0"/>
        <v>0</v>
      </c>
      <c r="J7" s="566">
        <f>+I7/I13%</f>
        <v>0</v>
      </c>
      <c r="K7" s="392"/>
      <c r="L7" s="72"/>
      <c r="N7" s="72"/>
    </row>
    <row r="8" spans="1:14" x14ac:dyDescent="0.3">
      <c r="A8" s="562">
        <v>4</v>
      </c>
      <c r="B8" s="563" t="s">
        <v>45</v>
      </c>
      <c r="C8" s="564">
        <f>'Budget-Categorie '!C7</f>
        <v>100654</v>
      </c>
      <c r="D8" s="564">
        <f>'Budget-Categorie '!D7</f>
        <v>0</v>
      </c>
      <c r="E8" s="564">
        <f>'Budget-Categorie '!E7</f>
        <v>3600</v>
      </c>
      <c r="F8" s="564">
        <f>'Budget-Categorie '!F7</f>
        <v>45000</v>
      </c>
      <c r="G8" s="564">
        <f>'Budget-Categorie '!G7</f>
        <v>0</v>
      </c>
      <c r="H8" s="564">
        <f>'Budget-Categorie '!H7</f>
        <v>0</v>
      </c>
      <c r="I8" s="565">
        <f t="shared" si="0"/>
        <v>149254</v>
      </c>
      <c r="J8" s="566">
        <f>+I8/I13%</f>
        <v>3.3509331127867137</v>
      </c>
      <c r="K8" s="392"/>
      <c r="L8" s="72"/>
    </row>
    <row r="9" spans="1:14" ht="29.1" customHeight="1" x14ac:dyDescent="0.3">
      <c r="A9" s="814" t="s">
        <v>49</v>
      </c>
      <c r="B9" s="815"/>
      <c r="C9" s="567">
        <f>SUM(C5:C8)</f>
        <v>1530317.0828</v>
      </c>
      <c r="D9" s="567">
        <f t="shared" ref="D9:J9" si="1">SUM(D5:D8)</f>
        <v>10450</v>
      </c>
      <c r="E9" s="567">
        <f t="shared" si="1"/>
        <v>380707.23999999993</v>
      </c>
      <c r="F9" s="567">
        <f t="shared" si="1"/>
        <v>311762.5</v>
      </c>
      <c r="G9" s="567">
        <f t="shared" si="1"/>
        <v>1530555.4300000002</v>
      </c>
      <c r="H9" s="567">
        <f t="shared" si="1"/>
        <v>113943.5</v>
      </c>
      <c r="I9" s="568">
        <f t="shared" si="1"/>
        <v>3877735.7527999999</v>
      </c>
      <c r="J9" s="568">
        <f t="shared" si="1"/>
        <v>87.059865308095169</v>
      </c>
      <c r="K9" s="392"/>
      <c r="L9" s="72">
        <f>J8+J11</f>
        <v>16.291067804691565</v>
      </c>
    </row>
    <row r="10" spans="1:14" ht="29.1" customHeight="1" x14ac:dyDescent="0.3">
      <c r="A10" s="818" t="s">
        <v>50</v>
      </c>
      <c r="B10" s="819"/>
      <c r="C10" s="819"/>
      <c r="D10" s="819"/>
      <c r="E10" s="819"/>
      <c r="F10" s="819"/>
      <c r="G10" s="819"/>
      <c r="H10" s="819"/>
      <c r="I10" s="819"/>
      <c r="J10" s="820"/>
      <c r="K10" s="393"/>
      <c r="L10" s="72"/>
    </row>
    <row r="11" spans="1:14" ht="33" customHeight="1" x14ac:dyDescent="0.3">
      <c r="A11" s="562">
        <v>5</v>
      </c>
      <c r="B11" s="563" t="s">
        <v>46</v>
      </c>
      <c r="C11" s="564">
        <f>'Budget-Categorie '!C8</f>
        <v>550042.08000000007</v>
      </c>
      <c r="D11" s="564">
        <f>'Budget-Categorie '!D8</f>
        <v>0</v>
      </c>
      <c r="E11" s="564">
        <f>'Budget-Categorie '!E8</f>
        <v>0</v>
      </c>
      <c r="F11" s="564">
        <f>'Budget-Categorie '!F8</f>
        <v>6500</v>
      </c>
      <c r="G11" s="564">
        <f>'Budget-Categorie '!G8</f>
        <v>19824.800000000003</v>
      </c>
      <c r="H11" s="564">
        <f>'Budget-Categorie '!H8</f>
        <v>0</v>
      </c>
      <c r="I11" s="565">
        <f t="shared" si="0"/>
        <v>576366.88000000012</v>
      </c>
      <c r="J11" s="566">
        <f>+I11/I13%</f>
        <v>12.94013469190485</v>
      </c>
      <c r="K11" s="392"/>
      <c r="L11" s="72"/>
    </row>
    <row r="12" spans="1:14" ht="33" customHeight="1" x14ac:dyDescent="0.3">
      <c r="A12" s="814" t="s">
        <v>51</v>
      </c>
      <c r="B12" s="815"/>
      <c r="C12" s="567">
        <f>C11</f>
        <v>550042.08000000007</v>
      </c>
      <c r="D12" s="567">
        <f t="shared" ref="D12:J12" si="2">D11</f>
        <v>0</v>
      </c>
      <c r="E12" s="567">
        <f t="shared" si="2"/>
        <v>0</v>
      </c>
      <c r="F12" s="567">
        <f t="shared" si="2"/>
        <v>6500</v>
      </c>
      <c r="G12" s="567">
        <f t="shared" si="2"/>
        <v>19824.800000000003</v>
      </c>
      <c r="H12" s="567">
        <f t="shared" si="2"/>
        <v>0</v>
      </c>
      <c r="I12" s="567">
        <f t="shared" si="2"/>
        <v>576366.88000000012</v>
      </c>
      <c r="J12" s="568">
        <f t="shared" si="2"/>
        <v>12.94013469190485</v>
      </c>
      <c r="L12" s="72"/>
    </row>
    <row r="13" spans="1:14" ht="23.25" customHeight="1" x14ac:dyDescent="0.3">
      <c r="A13" s="652"/>
      <c r="B13" s="653" t="s">
        <v>47</v>
      </c>
      <c r="C13" s="654">
        <f>C9+C12</f>
        <v>2080359.1628</v>
      </c>
      <c r="D13" s="654">
        <f t="shared" ref="D13:J13" si="3">D9+D12</f>
        <v>10450</v>
      </c>
      <c r="E13" s="654">
        <f t="shared" si="3"/>
        <v>380707.23999999993</v>
      </c>
      <c r="F13" s="654">
        <f t="shared" si="3"/>
        <v>318262.5</v>
      </c>
      <c r="G13" s="654">
        <f t="shared" si="3"/>
        <v>1550380.2300000002</v>
      </c>
      <c r="H13" s="654">
        <f t="shared" si="3"/>
        <v>113943.5</v>
      </c>
      <c r="I13" s="655">
        <f t="shared" si="3"/>
        <v>4454102.6327999998</v>
      </c>
      <c r="J13" s="654">
        <f t="shared" si="3"/>
        <v>100.00000000000001</v>
      </c>
      <c r="K13" s="72"/>
    </row>
    <row r="15" spans="1:14" x14ac:dyDescent="0.3">
      <c r="H15" s="72"/>
      <c r="I15" s="72"/>
    </row>
    <row r="17" spans="1:10" ht="35.1" customHeight="1" x14ac:dyDescent="0.3">
      <c r="A17" s="821" t="s">
        <v>48</v>
      </c>
      <c r="B17" s="821"/>
      <c r="C17" s="86" t="s">
        <v>50</v>
      </c>
      <c r="D17" s="85"/>
      <c r="E17" s="84"/>
      <c r="F17" s="84"/>
      <c r="G17" s="84"/>
      <c r="H17" s="84"/>
      <c r="I17" s="84"/>
      <c r="J17" s="84"/>
    </row>
    <row r="18" spans="1:10" ht="25.35" customHeight="1" x14ac:dyDescent="0.3">
      <c r="A18" s="816">
        <f>I9</f>
        <v>3877735.7527999999</v>
      </c>
      <c r="B18" s="817"/>
      <c r="C18" s="394">
        <f>I12</f>
        <v>576366.88000000012</v>
      </c>
      <c r="D18" s="83"/>
      <c r="E18" s="83"/>
      <c r="F18" s="83"/>
      <c r="G18" s="83"/>
      <c r="H18" s="83"/>
      <c r="I18" s="83"/>
      <c r="J18" s="84"/>
    </row>
  </sheetData>
  <mergeCells count="10">
    <mergeCell ref="A18:B18"/>
    <mergeCell ref="A12:B12"/>
    <mergeCell ref="A10:J10"/>
    <mergeCell ref="A4:J4"/>
    <mergeCell ref="A17:B17"/>
    <mergeCell ref="A2:B3"/>
    <mergeCell ref="C2:H2"/>
    <mergeCell ref="I2:I3"/>
    <mergeCell ref="J2:J3"/>
    <mergeCell ref="A9:B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3</vt:i4>
      </vt:variant>
    </vt:vector>
  </HeadingPairs>
  <TitlesOfParts>
    <vt:vector size="12" baseType="lpstr">
      <vt:lpstr>PTBA 2019 C1</vt:lpstr>
      <vt:lpstr>PTBA 2019 C2</vt:lpstr>
      <vt:lpstr>PTBA 2019 C3</vt:lpstr>
      <vt:lpstr>BORDEREAU DES PRIX UNITAIRES</vt:lpstr>
      <vt:lpstr>REPARTITION PAR NATURE PIP</vt:lpstr>
      <vt:lpstr>Budget_Composante </vt:lpstr>
      <vt:lpstr>Budget-Categorie </vt:lpstr>
      <vt:lpstr>Budget-Categorie fonctionnemt</vt:lpstr>
      <vt:lpstr>Feuil1</vt:lpstr>
      <vt:lpstr>'PTBA 2019 C1'!Impression_des_titres</vt:lpstr>
      <vt:lpstr>'PTBA 2019 C2'!Impression_des_titres</vt:lpstr>
      <vt:lpstr>'PTBA 2019 C3'!Impression_des_titres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user</cp:lastModifiedBy>
  <cp:lastPrinted>2019-03-20T13:56:40Z</cp:lastPrinted>
  <dcterms:created xsi:type="dcterms:W3CDTF">2018-07-05T09:21:09Z</dcterms:created>
  <dcterms:modified xsi:type="dcterms:W3CDTF">2019-05-16T12:46:05Z</dcterms:modified>
</cp:coreProperties>
</file>